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872094D4-C9DF-4462-A627-31E53B490270}"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T55" i="21"/>
  <c r="S55" i="21"/>
  <c r="E51" i="21"/>
  <c r="Q50" i="21"/>
  <c r="S49" i="21"/>
  <c r="T49" i="21" s="1"/>
  <c r="S48" i="21"/>
  <c r="T48" i="21" s="1"/>
  <c r="E48" i="21"/>
  <c r="S47" i="21"/>
  <c r="T47" i="21" s="1"/>
  <c r="N47" i="21"/>
  <c r="T46" i="21"/>
  <c r="S46" i="21"/>
  <c r="M46" i="21"/>
  <c r="L46" i="21"/>
  <c r="K46" i="21"/>
  <c r="J46" i="21"/>
  <c r="I46" i="21"/>
  <c r="S45" i="21"/>
  <c r="M45" i="21"/>
  <c r="L45" i="21"/>
  <c r="L48" i="21" s="1"/>
  <c r="K45" i="21"/>
  <c r="K48" i="21" s="1"/>
  <c r="J45" i="21"/>
  <c r="J48" i="21" s="1"/>
  <c r="I45" i="21"/>
  <c r="E41" i="21"/>
  <c r="D41" i="21"/>
  <c r="M40" i="21"/>
  <c r="L40" i="21"/>
  <c r="K40" i="21"/>
  <c r="J40" i="21"/>
  <c r="I40" i="21"/>
  <c r="N36" i="21"/>
  <c r="N46" i="21" s="1"/>
  <c r="M35" i="21"/>
  <c r="L35" i="21"/>
  <c r="K35" i="21"/>
  <c r="J35" i="21"/>
  <c r="I35" i="21"/>
  <c r="D34" i="21"/>
  <c r="E34" i="21" s="1"/>
  <c r="C33" i="21"/>
  <c r="N30" i="21"/>
  <c r="N45" i="21" s="1"/>
  <c r="M29" i="21"/>
  <c r="M31" i="21" s="1"/>
  <c r="M32" i="21" s="1"/>
  <c r="L29" i="21"/>
  <c r="L31" i="21" s="1"/>
  <c r="L32" i="21" s="1"/>
  <c r="E29" i="21"/>
  <c r="E28" i="21"/>
  <c r="E27" i="21"/>
  <c r="E26" i="21"/>
  <c r="N24" i="21"/>
  <c r="T22" i="21"/>
  <c r="T26" i="21" s="1"/>
  <c r="T31" i="21" s="1"/>
  <c r="S22" i="21"/>
  <c r="S26" i="21" s="1"/>
  <c r="S31" i="21" s="1"/>
  <c r="N20" i="21"/>
  <c r="N19" i="21"/>
  <c r="N18" i="21"/>
  <c r="E18" i="21"/>
  <c r="N16" i="21"/>
  <c r="N14" i="21"/>
  <c r="N13" i="21"/>
  <c r="T12" i="21"/>
  <c r="T17" i="21" s="1"/>
  <c r="S12" i="21"/>
  <c r="S17" i="21" s="1"/>
  <c r="M12" i="21"/>
  <c r="M15" i="21" s="1"/>
  <c r="L12" i="21"/>
  <c r="L15" i="21" s="1"/>
  <c r="K12" i="21"/>
  <c r="J12" i="21"/>
  <c r="I12" i="21"/>
  <c r="I29" i="21" s="1"/>
  <c r="I31" i="21" s="1"/>
  <c r="I32" i="21" s="1"/>
  <c r="N11" i="21"/>
  <c r="N10" i="21"/>
  <c r="N12" i="21" s="1"/>
  <c r="N9" i="21"/>
  <c r="C34" i="21" s="1"/>
  <c r="I8" i="21"/>
  <c r="T7" i="21"/>
  <c r="S7" i="21"/>
  <c r="A1" i="21"/>
  <c r="C65" i="20"/>
  <c r="C64" i="20"/>
  <c r="C62" i="20"/>
  <c r="C61" i="20"/>
  <c r="R37" i="3" s="1"/>
  <c r="T59" i="20"/>
  <c r="S59" i="20"/>
  <c r="M59" i="20"/>
  <c r="L59" i="20"/>
  <c r="K59" i="20"/>
  <c r="J59" i="20"/>
  <c r="I59" i="20"/>
  <c r="T58" i="20"/>
  <c r="S58" i="20"/>
  <c r="N58" i="20"/>
  <c r="T57" i="20"/>
  <c r="S57" i="20"/>
  <c r="M57" i="20"/>
  <c r="L57" i="20"/>
  <c r="K57" i="20"/>
  <c r="J57" i="20"/>
  <c r="I57" i="20"/>
  <c r="T56" i="20"/>
  <c r="S56" i="20"/>
  <c r="N56" i="20"/>
  <c r="T55" i="20"/>
  <c r="S55" i="20"/>
  <c r="E51" i="20"/>
  <c r="Q50" i="20"/>
  <c r="S49" i="20"/>
  <c r="T49" i="20" s="1"/>
  <c r="S48" i="20"/>
  <c r="T48" i="20" s="1"/>
  <c r="E48" i="20"/>
  <c r="S47" i="20"/>
  <c r="T47" i="20" s="1"/>
  <c r="N47" i="20"/>
  <c r="S46" i="20"/>
  <c r="T46" i="20" s="1"/>
  <c r="M46" i="20"/>
  <c r="L46" i="20"/>
  <c r="K46" i="20"/>
  <c r="J46" i="20"/>
  <c r="I46" i="20"/>
  <c r="T45" i="20"/>
  <c r="S45" i="20"/>
  <c r="M45" i="20"/>
  <c r="L45" i="20"/>
  <c r="L48" i="20" s="1"/>
  <c r="K45" i="20"/>
  <c r="K48" i="20" s="1"/>
  <c r="J45" i="20"/>
  <c r="I45" i="20"/>
  <c r="E41" i="20"/>
  <c r="D41" i="20"/>
  <c r="M40" i="20"/>
  <c r="L40" i="20"/>
  <c r="K40" i="20"/>
  <c r="J40" i="20"/>
  <c r="I40" i="20"/>
  <c r="N36" i="20"/>
  <c r="N46" i="20" s="1"/>
  <c r="M35" i="20"/>
  <c r="L35" i="20"/>
  <c r="K35" i="20"/>
  <c r="J35" i="20"/>
  <c r="I35" i="20"/>
  <c r="D34" i="20"/>
  <c r="E34" i="20" s="1"/>
  <c r="C33" i="20"/>
  <c r="N30" i="20"/>
  <c r="N45" i="20" s="1"/>
  <c r="E29" i="20"/>
  <c r="E28" i="20"/>
  <c r="E27" i="20"/>
  <c r="E26" i="20"/>
  <c r="N24" i="20"/>
  <c r="T22" i="20"/>
  <c r="T26" i="20" s="1"/>
  <c r="T31" i="20" s="1"/>
  <c r="S22" i="20"/>
  <c r="S26" i="20" s="1"/>
  <c r="S31" i="20" s="1"/>
  <c r="N20" i="20"/>
  <c r="N19" i="20"/>
  <c r="N18" i="20"/>
  <c r="E18" i="20"/>
  <c r="N16" i="20"/>
  <c r="J15" i="20"/>
  <c r="I15" i="20"/>
  <c r="N14" i="20"/>
  <c r="N13" i="20"/>
  <c r="T12" i="20"/>
  <c r="T17" i="20" s="1"/>
  <c r="S12" i="20"/>
  <c r="S17" i="20" s="1"/>
  <c r="M12" i="20"/>
  <c r="M29" i="20" s="1"/>
  <c r="M31" i="20" s="1"/>
  <c r="M32" i="20" s="1"/>
  <c r="L12" i="20"/>
  <c r="L29" i="20" s="1"/>
  <c r="L31" i="20" s="1"/>
  <c r="L32" i="20" s="1"/>
  <c r="K12" i="20"/>
  <c r="K29" i="20" s="1"/>
  <c r="K31" i="20" s="1"/>
  <c r="K32" i="20" s="1"/>
  <c r="J12" i="20"/>
  <c r="J29" i="20" s="1"/>
  <c r="J31" i="20" s="1"/>
  <c r="J32" i="20" s="1"/>
  <c r="I12" i="20"/>
  <c r="I29" i="20" s="1"/>
  <c r="I31" i="20" s="1"/>
  <c r="I32" i="20" s="1"/>
  <c r="N11" i="20"/>
  <c r="N10" i="20"/>
  <c r="N9" i="20"/>
  <c r="T7" i="20" s="1"/>
  <c r="I8" i="20"/>
  <c r="S7" i="20"/>
  <c r="A1" i="20"/>
  <c r="C65" i="19"/>
  <c r="C64" i="19"/>
  <c r="S36" i="3" s="1"/>
  <c r="C62" i="19"/>
  <c r="C61" i="19"/>
  <c r="T59" i="19"/>
  <c r="S59" i="19"/>
  <c r="M59" i="19"/>
  <c r="L59" i="19"/>
  <c r="K59" i="19"/>
  <c r="J59" i="19"/>
  <c r="I59" i="19"/>
  <c r="T58" i="19"/>
  <c r="S58" i="19"/>
  <c r="N58" i="19"/>
  <c r="T57" i="19"/>
  <c r="S57" i="19"/>
  <c r="M57" i="19"/>
  <c r="L57" i="19"/>
  <c r="K57" i="19"/>
  <c r="J57" i="19"/>
  <c r="I57" i="19"/>
  <c r="T56" i="19"/>
  <c r="S56" i="19"/>
  <c r="N56" i="19"/>
  <c r="N40" i="19" s="1"/>
  <c r="I36" i="3" s="1"/>
  <c r="T55" i="19"/>
  <c r="S55" i="19"/>
  <c r="E51" i="19"/>
  <c r="Q50" i="19"/>
  <c r="S49" i="19"/>
  <c r="T49" i="19" s="1"/>
  <c r="S48" i="19"/>
  <c r="T48" i="19" s="1"/>
  <c r="E48" i="19"/>
  <c r="S47" i="19"/>
  <c r="T47" i="19" s="1"/>
  <c r="N47" i="19"/>
  <c r="S46" i="19"/>
  <c r="T46" i="19" s="1"/>
  <c r="M46" i="19"/>
  <c r="L46" i="19"/>
  <c r="K46" i="19"/>
  <c r="J46" i="19"/>
  <c r="I46" i="19"/>
  <c r="S45" i="19"/>
  <c r="M45" i="19"/>
  <c r="L45" i="19"/>
  <c r="K45" i="19"/>
  <c r="K48" i="19" s="1"/>
  <c r="J45" i="19"/>
  <c r="J48" i="19" s="1"/>
  <c r="I45" i="19"/>
  <c r="I48" i="19" s="1"/>
  <c r="E41" i="19"/>
  <c r="Z35" i="5" s="1"/>
  <c r="D41" i="19"/>
  <c r="M40" i="19"/>
  <c r="L40" i="19"/>
  <c r="K40" i="19"/>
  <c r="J40" i="19"/>
  <c r="I40" i="19"/>
  <c r="N36" i="19"/>
  <c r="N46" i="19" s="1"/>
  <c r="M35" i="19"/>
  <c r="L35" i="19"/>
  <c r="K35" i="19"/>
  <c r="J35" i="19"/>
  <c r="I35" i="19"/>
  <c r="D34" i="19"/>
  <c r="E34" i="19" s="1"/>
  <c r="C33" i="19"/>
  <c r="N30" i="19"/>
  <c r="N35" i="19" s="1"/>
  <c r="E29" i="19"/>
  <c r="E28" i="19"/>
  <c r="E27" i="19"/>
  <c r="T26" i="19"/>
  <c r="T31" i="19" s="1"/>
  <c r="E26" i="19"/>
  <c r="N24" i="19"/>
  <c r="T22" i="19"/>
  <c r="S22" i="19"/>
  <c r="S26" i="19" s="1"/>
  <c r="S31" i="19" s="1"/>
  <c r="N20" i="19"/>
  <c r="N19" i="19"/>
  <c r="N18" i="19"/>
  <c r="E18" i="19"/>
  <c r="N16" i="19"/>
  <c r="K15" i="19"/>
  <c r="K34" i="19" s="1"/>
  <c r="J15" i="19"/>
  <c r="J34" i="19" s="1"/>
  <c r="N14" i="19"/>
  <c r="N13" i="19"/>
  <c r="T12" i="19"/>
  <c r="T17" i="19" s="1"/>
  <c r="S12" i="19"/>
  <c r="S17" i="19" s="1"/>
  <c r="M12" i="19"/>
  <c r="M29" i="19" s="1"/>
  <c r="M31" i="19" s="1"/>
  <c r="M32" i="19" s="1"/>
  <c r="L12" i="19"/>
  <c r="L29" i="19" s="1"/>
  <c r="L31" i="19" s="1"/>
  <c r="L32" i="19" s="1"/>
  <c r="K12" i="19"/>
  <c r="K29" i="19" s="1"/>
  <c r="K31" i="19" s="1"/>
  <c r="K32" i="19" s="1"/>
  <c r="J12" i="19"/>
  <c r="J29" i="19" s="1"/>
  <c r="J31" i="19" s="1"/>
  <c r="J32" i="19" s="1"/>
  <c r="I12" i="19"/>
  <c r="I29" i="19" s="1"/>
  <c r="I31" i="19" s="1"/>
  <c r="I32" i="19" s="1"/>
  <c r="N11" i="19"/>
  <c r="N10" i="19"/>
  <c r="N12" i="19" s="1"/>
  <c r="N9" i="19"/>
  <c r="C34" i="19" s="1"/>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S55" i="18"/>
  <c r="E51" i="18"/>
  <c r="Q50" i="18"/>
  <c r="S49" i="18"/>
  <c r="T49" i="18" s="1"/>
  <c r="S48" i="18"/>
  <c r="T48" i="18" s="1"/>
  <c r="E48" i="18"/>
  <c r="S47" i="18"/>
  <c r="T47" i="18" s="1"/>
  <c r="N47" i="18"/>
  <c r="S46" i="18"/>
  <c r="T46" i="18" s="1"/>
  <c r="M46" i="18"/>
  <c r="L46" i="18"/>
  <c r="K46" i="18"/>
  <c r="J46" i="18"/>
  <c r="I46" i="18"/>
  <c r="S45" i="18"/>
  <c r="T45" i="18" s="1"/>
  <c r="M45" i="18"/>
  <c r="M48" i="18" s="1"/>
  <c r="L45" i="18"/>
  <c r="K45" i="18"/>
  <c r="K48" i="18" s="1"/>
  <c r="J45" i="18"/>
  <c r="J48" i="18" s="1"/>
  <c r="I45" i="18"/>
  <c r="I48" i="18" s="1"/>
  <c r="E41" i="18"/>
  <c r="D41" i="18"/>
  <c r="M40" i="18"/>
  <c r="L40" i="18"/>
  <c r="K40" i="18"/>
  <c r="J40" i="18"/>
  <c r="I40" i="18"/>
  <c r="N36" i="18"/>
  <c r="N46" i="18" s="1"/>
  <c r="N35" i="18"/>
  <c r="M35" i="18"/>
  <c r="L35" i="18"/>
  <c r="K35" i="18"/>
  <c r="J35" i="18"/>
  <c r="I35" i="18"/>
  <c r="E34" i="18"/>
  <c r="D34" i="18"/>
  <c r="C33" i="18"/>
  <c r="N30" i="18"/>
  <c r="N45" i="18" s="1"/>
  <c r="M29" i="18"/>
  <c r="M31" i="18" s="1"/>
  <c r="M32" i="18" s="1"/>
  <c r="L29" i="18"/>
  <c r="L31" i="18" s="1"/>
  <c r="L32" i="18" s="1"/>
  <c r="E29" i="18"/>
  <c r="E28" i="18"/>
  <c r="E27" i="18"/>
  <c r="E26" i="18"/>
  <c r="N24" i="18"/>
  <c r="T22" i="18"/>
  <c r="T26" i="18" s="1"/>
  <c r="T31" i="18" s="1"/>
  <c r="S22" i="18"/>
  <c r="S26" i="18" s="1"/>
  <c r="S31" i="18" s="1"/>
  <c r="N20" i="18"/>
  <c r="N19" i="18"/>
  <c r="N18" i="18"/>
  <c r="E18" i="18"/>
  <c r="N16" i="18"/>
  <c r="M15" i="18"/>
  <c r="L15" i="18"/>
  <c r="N14" i="18"/>
  <c r="N13" i="18"/>
  <c r="T12" i="18"/>
  <c r="T17" i="18" s="1"/>
  <c r="S12" i="18"/>
  <c r="S17" i="18" s="1"/>
  <c r="M12" i="18"/>
  <c r="L12" i="18"/>
  <c r="K12" i="18"/>
  <c r="J12" i="18"/>
  <c r="I12" i="18"/>
  <c r="I29" i="18" s="1"/>
  <c r="I31" i="18" s="1"/>
  <c r="I32" i="18" s="1"/>
  <c r="N11" i="18"/>
  <c r="N10" i="18"/>
  <c r="N12" i="18" s="1"/>
  <c r="N29" i="18" s="1"/>
  <c r="N31" i="18" s="1"/>
  <c r="N9" i="18"/>
  <c r="C34" i="18" s="1"/>
  <c r="I8" i="18"/>
  <c r="S7" i="18"/>
  <c r="A1" i="18"/>
  <c r="C65" i="17"/>
  <c r="C64" i="17"/>
  <c r="C62" i="17"/>
  <c r="C61" i="17"/>
  <c r="T59" i="17"/>
  <c r="S59" i="17"/>
  <c r="M59" i="17"/>
  <c r="L59" i="17"/>
  <c r="K59" i="17"/>
  <c r="J59" i="17"/>
  <c r="I59" i="17"/>
  <c r="T58" i="17"/>
  <c r="S58" i="17"/>
  <c r="N58" i="17"/>
  <c r="T57" i="17"/>
  <c r="S57" i="17"/>
  <c r="M57" i="17"/>
  <c r="L57" i="17"/>
  <c r="K57" i="17"/>
  <c r="J57" i="17"/>
  <c r="I57" i="17"/>
  <c r="T56" i="17"/>
  <c r="S56" i="17"/>
  <c r="N56" i="17"/>
  <c r="N40" i="17" s="1"/>
  <c r="I34" i="3" s="1"/>
  <c r="T55" i="17"/>
  <c r="S55" i="17"/>
  <c r="E51" i="17"/>
  <c r="Q50" i="17"/>
  <c r="S49" i="17"/>
  <c r="T49" i="17" s="1"/>
  <c r="S48" i="17"/>
  <c r="T48" i="17" s="1"/>
  <c r="E48" i="17"/>
  <c r="J34" i="4" s="1"/>
  <c r="S47" i="17"/>
  <c r="T47" i="17" s="1"/>
  <c r="N47" i="17"/>
  <c r="S46" i="17"/>
  <c r="T46" i="17" s="1"/>
  <c r="M46" i="17"/>
  <c r="L46" i="17"/>
  <c r="K46" i="17"/>
  <c r="J46" i="17"/>
  <c r="J48" i="17" s="1"/>
  <c r="I46" i="17"/>
  <c r="S45" i="17"/>
  <c r="T45" i="17" s="1"/>
  <c r="M45" i="17"/>
  <c r="L45" i="17"/>
  <c r="K45" i="17"/>
  <c r="J45" i="17"/>
  <c r="I45" i="17"/>
  <c r="E41" i="17"/>
  <c r="D41" i="17"/>
  <c r="M40" i="17"/>
  <c r="L40" i="17"/>
  <c r="K40" i="17"/>
  <c r="J40" i="17"/>
  <c r="I40" i="17"/>
  <c r="N36" i="17"/>
  <c r="N46" i="17" s="1"/>
  <c r="M35" i="17"/>
  <c r="L35" i="17"/>
  <c r="K35" i="17"/>
  <c r="J35" i="17"/>
  <c r="I35" i="17"/>
  <c r="D34" i="17"/>
  <c r="E34" i="17" s="1"/>
  <c r="C33" i="17"/>
  <c r="N30" i="17"/>
  <c r="N45" i="17" s="1"/>
  <c r="K29" i="17"/>
  <c r="K31" i="17" s="1"/>
  <c r="K32" i="17" s="1"/>
  <c r="E29" i="17"/>
  <c r="E28" i="17"/>
  <c r="E27" i="17"/>
  <c r="E26" i="17"/>
  <c r="N24" i="17"/>
  <c r="T22" i="17"/>
  <c r="T26" i="17" s="1"/>
  <c r="T31" i="17" s="1"/>
  <c r="S22" i="17"/>
  <c r="S26" i="17" s="1"/>
  <c r="S31" i="17" s="1"/>
  <c r="N20" i="17"/>
  <c r="N19" i="17"/>
  <c r="N18" i="17"/>
  <c r="E18" i="17"/>
  <c r="E33" i="5" s="1"/>
  <c r="N16" i="17"/>
  <c r="N14" i="17"/>
  <c r="N13" i="17"/>
  <c r="T12" i="17"/>
  <c r="T17" i="17" s="1"/>
  <c r="S12" i="17"/>
  <c r="S17" i="17" s="1"/>
  <c r="M12" i="17"/>
  <c r="L12" i="17"/>
  <c r="K12" i="17"/>
  <c r="K15" i="17" s="1"/>
  <c r="J12" i="17"/>
  <c r="J15" i="17" s="1"/>
  <c r="J17" i="17" s="1"/>
  <c r="I12" i="17"/>
  <c r="I15" i="17" s="1"/>
  <c r="N11" i="17"/>
  <c r="N10" i="17"/>
  <c r="N9" i="17"/>
  <c r="T7" i="17" s="1"/>
  <c r="I8" i="17"/>
  <c r="S7" i="17"/>
  <c r="A1" i="17"/>
  <c r="C65" i="16"/>
  <c r="C64" i="16"/>
  <c r="C62" i="16"/>
  <c r="C61" i="16"/>
  <c r="T59" i="16"/>
  <c r="S59" i="16"/>
  <c r="M59" i="16"/>
  <c r="L59" i="16"/>
  <c r="K59" i="16"/>
  <c r="J59" i="16"/>
  <c r="I59" i="16"/>
  <c r="T58" i="16"/>
  <c r="S58" i="16"/>
  <c r="N58" i="16"/>
  <c r="T57" i="16"/>
  <c r="S57" i="16"/>
  <c r="M57" i="16"/>
  <c r="L57" i="16"/>
  <c r="K57" i="16"/>
  <c r="J57" i="16"/>
  <c r="I57" i="16"/>
  <c r="T56" i="16"/>
  <c r="S56" i="16"/>
  <c r="N56" i="16"/>
  <c r="N40" i="16" s="1"/>
  <c r="I28" i="3" s="1"/>
  <c r="T55" i="16"/>
  <c r="S55" i="16"/>
  <c r="E51" i="16"/>
  <c r="L28" i="4" s="1"/>
  <c r="Q50" i="16"/>
  <c r="S49" i="16"/>
  <c r="T49" i="16" s="1"/>
  <c r="S48" i="16"/>
  <c r="T48" i="16" s="1"/>
  <c r="E48" i="16"/>
  <c r="S47" i="16"/>
  <c r="T47" i="16" s="1"/>
  <c r="N47" i="16"/>
  <c r="S46" i="16"/>
  <c r="T46" i="16" s="1"/>
  <c r="M46" i="16"/>
  <c r="L46" i="16"/>
  <c r="K46" i="16"/>
  <c r="J46" i="16"/>
  <c r="I46" i="16"/>
  <c r="S45" i="16"/>
  <c r="M45" i="16"/>
  <c r="L45" i="16"/>
  <c r="K45" i="16"/>
  <c r="J45" i="16"/>
  <c r="I45" i="16"/>
  <c r="E41" i="16"/>
  <c r="D41" i="16"/>
  <c r="M40" i="16"/>
  <c r="L40" i="16"/>
  <c r="K40" i="16"/>
  <c r="J40" i="16"/>
  <c r="I40" i="16"/>
  <c r="N36" i="16"/>
  <c r="N46" i="16" s="1"/>
  <c r="M35" i="16"/>
  <c r="L35" i="16"/>
  <c r="K35" i="16"/>
  <c r="J35" i="16"/>
  <c r="I35" i="16"/>
  <c r="D34" i="16"/>
  <c r="E34" i="16" s="1"/>
  <c r="C33" i="16"/>
  <c r="N30" i="16"/>
  <c r="I29" i="16"/>
  <c r="I31" i="16" s="1"/>
  <c r="I32" i="16" s="1"/>
  <c r="E29" i="16"/>
  <c r="E28" i="16"/>
  <c r="E27" i="16"/>
  <c r="E26" i="16"/>
  <c r="N24" i="16"/>
  <c r="T22" i="16"/>
  <c r="T26" i="16" s="1"/>
  <c r="T31" i="16" s="1"/>
  <c r="S22" i="16"/>
  <c r="S26" i="16" s="1"/>
  <c r="S31" i="16" s="1"/>
  <c r="N20" i="16"/>
  <c r="N19" i="16"/>
  <c r="N18" i="16"/>
  <c r="E18" i="16"/>
  <c r="N16" i="16"/>
  <c r="I15" i="16"/>
  <c r="I34" i="16" s="1"/>
  <c r="N14" i="16"/>
  <c r="N13" i="16"/>
  <c r="T12" i="16"/>
  <c r="T17" i="16" s="1"/>
  <c r="S12" i="16"/>
  <c r="S17" i="16" s="1"/>
  <c r="M12" i="16"/>
  <c r="M29" i="16" s="1"/>
  <c r="M31" i="16" s="1"/>
  <c r="M32" i="16" s="1"/>
  <c r="L12" i="16"/>
  <c r="L29" i="16" s="1"/>
  <c r="L31" i="16" s="1"/>
  <c r="L32" i="16" s="1"/>
  <c r="K12" i="16"/>
  <c r="K15" i="16" s="1"/>
  <c r="J12" i="16"/>
  <c r="J29" i="16" s="1"/>
  <c r="J31" i="16" s="1"/>
  <c r="J32" i="16" s="1"/>
  <c r="I12" i="16"/>
  <c r="N11" i="16"/>
  <c r="N10" i="16"/>
  <c r="C36" i="16" s="1"/>
  <c r="N9" i="16"/>
  <c r="C34" i="16" s="1"/>
  <c r="I8" i="16"/>
  <c r="S7" i="16"/>
  <c r="A1" i="16"/>
  <c r="C65" i="15"/>
  <c r="C64" i="15"/>
  <c r="C62" i="15"/>
  <c r="C61" i="15"/>
  <c r="R27" i="3" s="1"/>
  <c r="T59" i="15"/>
  <c r="S59" i="15"/>
  <c r="M59" i="15"/>
  <c r="L59" i="15"/>
  <c r="K59" i="15"/>
  <c r="J59" i="15"/>
  <c r="I59" i="15"/>
  <c r="T58" i="15"/>
  <c r="S58" i="15"/>
  <c r="N58" i="15"/>
  <c r="T57" i="15"/>
  <c r="S57" i="15"/>
  <c r="M57" i="15"/>
  <c r="L57" i="15"/>
  <c r="K57" i="15"/>
  <c r="J57" i="15"/>
  <c r="I57" i="15"/>
  <c r="T56" i="15"/>
  <c r="S56" i="15"/>
  <c r="N56" i="15"/>
  <c r="T55" i="15"/>
  <c r="S55" i="15"/>
  <c r="E51" i="15"/>
  <c r="Q50" i="15"/>
  <c r="S49" i="15"/>
  <c r="T49" i="15" s="1"/>
  <c r="S48" i="15"/>
  <c r="T48" i="15" s="1"/>
  <c r="E48" i="15"/>
  <c r="S47" i="15"/>
  <c r="T47" i="15" s="1"/>
  <c r="N47" i="15"/>
  <c r="S46" i="15"/>
  <c r="M46" i="15"/>
  <c r="M48" i="15" s="1"/>
  <c r="L46" i="15"/>
  <c r="K46" i="15"/>
  <c r="J46" i="15"/>
  <c r="I46" i="15"/>
  <c r="S45" i="15"/>
  <c r="T45" i="15" s="1"/>
  <c r="M45" i="15"/>
  <c r="L45" i="15"/>
  <c r="K45" i="15"/>
  <c r="J45" i="15"/>
  <c r="J48" i="15" s="1"/>
  <c r="I45" i="15"/>
  <c r="E41" i="15"/>
  <c r="D41" i="15"/>
  <c r="N40" i="15"/>
  <c r="I27" i="3" s="1"/>
  <c r="M40" i="15"/>
  <c r="L40" i="15"/>
  <c r="K40" i="15"/>
  <c r="J40" i="15"/>
  <c r="I40" i="15"/>
  <c r="N36" i="15"/>
  <c r="N46" i="15" s="1"/>
  <c r="M35" i="15"/>
  <c r="L35" i="15"/>
  <c r="K35" i="15"/>
  <c r="J35" i="15"/>
  <c r="I35" i="15"/>
  <c r="D34" i="15"/>
  <c r="E34" i="15" s="1"/>
  <c r="C33" i="15"/>
  <c r="N30" i="15"/>
  <c r="N45" i="15" s="1"/>
  <c r="E29" i="15"/>
  <c r="E28" i="15"/>
  <c r="E27" i="15"/>
  <c r="E26" i="15"/>
  <c r="N24" i="15"/>
  <c r="T22" i="15"/>
  <c r="T26" i="15" s="1"/>
  <c r="T31" i="15" s="1"/>
  <c r="S22" i="15"/>
  <c r="S26" i="15" s="1"/>
  <c r="S31" i="15" s="1"/>
  <c r="N20" i="15"/>
  <c r="N19" i="15"/>
  <c r="N18" i="15"/>
  <c r="E18" i="15"/>
  <c r="T17" i="15"/>
  <c r="N16" i="15"/>
  <c r="N14" i="15"/>
  <c r="N13" i="15"/>
  <c r="T12" i="15"/>
  <c r="S12" i="15"/>
  <c r="S17" i="15" s="1"/>
  <c r="M12" i="15"/>
  <c r="L12" i="15"/>
  <c r="L29" i="15" s="1"/>
  <c r="L31" i="15" s="1"/>
  <c r="L32" i="15" s="1"/>
  <c r="K12" i="15"/>
  <c r="K29" i="15" s="1"/>
  <c r="K31" i="15" s="1"/>
  <c r="K32" i="15" s="1"/>
  <c r="J12" i="15"/>
  <c r="I12" i="15"/>
  <c r="N11" i="15"/>
  <c r="N12" i="15" s="1"/>
  <c r="N10" i="15"/>
  <c r="C36" i="15" s="1"/>
  <c r="N9" i="15"/>
  <c r="C34" i="15" s="1"/>
  <c r="I8" i="15"/>
  <c r="S7" i="15"/>
  <c r="A1" i="15"/>
  <c r="C65" i="14"/>
  <c r="C64" i="14"/>
  <c r="C62" i="14"/>
  <c r="C61" i="14"/>
  <c r="R26" i="3" s="1"/>
  <c r="T59" i="14"/>
  <c r="S59" i="14"/>
  <c r="M59" i="14"/>
  <c r="L59" i="14"/>
  <c r="K59" i="14"/>
  <c r="J59" i="14"/>
  <c r="I59" i="14"/>
  <c r="T58" i="14"/>
  <c r="S58" i="14"/>
  <c r="N58" i="14"/>
  <c r="T57" i="14"/>
  <c r="S57" i="14"/>
  <c r="M57" i="14"/>
  <c r="L57" i="14"/>
  <c r="K57" i="14"/>
  <c r="J57" i="14"/>
  <c r="I57" i="14"/>
  <c r="T56" i="14"/>
  <c r="S56" i="14"/>
  <c r="N56" i="14"/>
  <c r="T55" i="14"/>
  <c r="S55" i="14"/>
  <c r="E51" i="14"/>
  <c r="Q50" i="14"/>
  <c r="S49" i="14"/>
  <c r="T49" i="14" s="1"/>
  <c r="S48" i="14"/>
  <c r="T48" i="14" s="1"/>
  <c r="E48" i="14"/>
  <c r="T47" i="14"/>
  <c r="S47" i="14"/>
  <c r="N47" i="14"/>
  <c r="S46" i="14"/>
  <c r="T46" i="14" s="1"/>
  <c r="M46" i="14"/>
  <c r="L46" i="14"/>
  <c r="K46" i="14"/>
  <c r="J46" i="14"/>
  <c r="I46" i="14"/>
  <c r="S45" i="14"/>
  <c r="M45" i="14"/>
  <c r="M48" i="14" s="1"/>
  <c r="L45" i="14"/>
  <c r="K45" i="14"/>
  <c r="J45" i="14"/>
  <c r="I45" i="14"/>
  <c r="E41" i="14"/>
  <c r="D41" i="14"/>
  <c r="M40" i="14"/>
  <c r="L40" i="14"/>
  <c r="K40" i="14"/>
  <c r="J40" i="14"/>
  <c r="I40" i="14"/>
  <c r="N36" i="14"/>
  <c r="N46" i="14" s="1"/>
  <c r="M35" i="14"/>
  <c r="L35" i="14"/>
  <c r="K35" i="14"/>
  <c r="J35" i="14"/>
  <c r="I35" i="14"/>
  <c r="D34" i="14"/>
  <c r="E34" i="14" s="1"/>
  <c r="C33" i="14"/>
  <c r="N30" i="14"/>
  <c r="N45" i="14" s="1"/>
  <c r="N48" i="14" s="1"/>
  <c r="E29" i="14"/>
  <c r="E28" i="14"/>
  <c r="E27" i="14"/>
  <c r="E26" i="14"/>
  <c r="N24" i="14"/>
  <c r="T22" i="14"/>
  <c r="T26" i="14" s="1"/>
  <c r="T31" i="14" s="1"/>
  <c r="S22" i="14"/>
  <c r="S26" i="14" s="1"/>
  <c r="S31" i="14" s="1"/>
  <c r="N20" i="14"/>
  <c r="N19" i="14"/>
  <c r="N18" i="14"/>
  <c r="E18" i="14"/>
  <c r="E25" i="5" s="1"/>
  <c r="T17" i="14"/>
  <c r="N16" i="14"/>
  <c r="N14" i="14"/>
  <c r="N13" i="14"/>
  <c r="T12" i="14"/>
  <c r="S12" i="14"/>
  <c r="S17" i="14" s="1"/>
  <c r="M12" i="14"/>
  <c r="M15" i="14" s="1"/>
  <c r="M34" i="14" s="1"/>
  <c r="M37" i="14" s="1"/>
  <c r="M38" i="14" s="1"/>
  <c r="L12" i="14"/>
  <c r="L29" i="14" s="1"/>
  <c r="L31" i="14" s="1"/>
  <c r="L32" i="14" s="1"/>
  <c r="K12" i="14"/>
  <c r="K29" i="14" s="1"/>
  <c r="K31" i="14" s="1"/>
  <c r="K32" i="14" s="1"/>
  <c r="J12" i="14"/>
  <c r="J29" i="14" s="1"/>
  <c r="J31" i="14" s="1"/>
  <c r="J32" i="14" s="1"/>
  <c r="I12" i="14"/>
  <c r="I29" i="14" s="1"/>
  <c r="I31" i="14" s="1"/>
  <c r="I32" i="14" s="1"/>
  <c r="N11" i="14"/>
  <c r="N10" i="14"/>
  <c r="N9" i="14"/>
  <c r="T7" i="14" s="1"/>
  <c r="I8" i="14"/>
  <c r="S7" i="14"/>
  <c r="A1" i="14"/>
  <c r="C65" i="13"/>
  <c r="C64" i="13"/>
  <c r="C62" i="13"/>
  <c r="C61" i="13"/>
  <c r="T59" i="13"/>
  <c r="S59" i="13"/>
  <c r="M59" i="13"/>
  <c r="L59" i="13"/>
  <c r="K59" i="13"/>
  <c r="J59" i="13"/>
  <c r="I59" i="13"/>
  <c r="T58" i="13"/>
  <c r="S58" i="13"/>
  <c r="N58" i="13"/>
  <c r="T57" i="13"/>
  <c r="S57" i="13"/>
  <c r="M57" i="13"/>
  <c r="L57" i="13"/>
  <c r="K57" i="13"/>
  <c r="J57" i="13"/>
  <c r="I57" i="13"/>
  <c r="T56" i="13"/>
  <c r="S56" i="13"/>
  <c r="N56" i="13"/>
  <c r="T55" i="13"/>
  <c r="S55" i="13"/>
  <c r="E51" i="13"/>
  <c r="Q50" i="13"/>
  <c r="T49" i="13"/>
  <c r="S49" i="13"/>
  <c r="S48" i="13"/>
  <c r="T48" i="13" s="1"/>
  <c r="E48" i="13"/>
  <c r="S47" i="13"/>
  <c r="T47" i="13" s="1"/>
  <c r="N47" i="13"/>
  <c r="S46" i="13"/>
  <c r="T46" i="13" s="1"/>
  <c r="M46" i="13"/>
  <c r="L46" i="13"/>
  <c r="K46" i="13"/>
  <c r="J46" i="13"/>
  <c r="I46" i="13"/>
  <c r="S45" i="13"/>
  <c r="T45" i="13" s="1"/>
  <c r="M45" i="13"/>
  <c r="M48" i="13" s="1"/>
  <c r="L45" i="13"/>
  <c r="K45" i="13"/>
  <c r="J45" i="13"/>
  <c r="I45" i="13"/>
  <c r="E41" i="13"/>
  <c r="Z24" i="5" s="1"/>
  <c r="D41" i="13"/>
  <c r="M40" i="13"/>
  <c r="L40" i="13"/>
  <c r="K40" i="13"/>
  <c r="J40" i="13"/>
  <c r="I40" i="13"/>
  <c r="N36" i="13"/>
  <c r="N46" i="13" s="1"/>
  <c r="M35" i="13"/>
  <c r="L35" i="13"/>
  <c r="K35" i="13"/>
  <c r="J35" i="13"/>
  <c r="I35" i="13"/>
  <c r="D34" i="13"/>
  <c r="E34" i="13" s="1"/>
  <c r="C33" i="13"/>
  <c r="N30" i="13"/>
  <c r="N35" i="13" s="1"/>
  <c r="E29" i="13"/>
  <c r="E28" i="13"/>
  <c r="E27" i="13"/>
  <c r="S26" i="13"/>
  <c r="S31" i="13" s="1"/>
  <c r="S32" i="13" s="1"/>
  <c r="E26" i="13"/>
  <c r="N24" i="13"/>
  <c r="T22" i="13"/>
  <c r="T26" i="13" s="1"/>
  <c r="T31" i="13" s="1"/>
  <c r="S22" i="13"/>
  <c r="N20" i="13"/>
  <c r="N19" i="13"/>
  <c r="N18" i="13"/>
  <c r="E18" i="13"/>
  <c r="N16" i="13"/>
  <c r="I15" i="13"/>
  <c r="N14" i="13"/>
  <c r="N13" i="13"/>
  <c r="T12" i="13"/>
  <c r="T17" i="13" s="1"/>
  <c r="S12" i="13"/>
  <c r="S17" i="13" s="1"/>
  <c r="M12" i="13"/>
  <c r="M29" i="13" s="1"/>
  <c r="M31" i="13" s="1"/>
  <c r="M32" i="13" s="1"/>
  <c r="L12" i="13"/>
  <c r="L15" i="13" s="1"/>
  <c r="L17" i="13" s="1"/>
  <c r="L21" i="13" s="1"/>
  <c r="K12" i="13"/>
  <c r="K29" i="13" s="1"/>
  <c r="K31" i="13" s="1"/>
  <c r="K32" i="13" s="1"/>
  <c r="J12" i="13"/>
  <c r="I12" i="13"/>
  <c r="I29" i="13" s="1"/>
  <c r="I31" i="13" s="1"/>
  <c r="I32" i="13" s="1"/>
  <c r="N11" i="13"/>
  <c r="N10" i="13"/>
  <c r="N9" i="13"/>
  <c r="C34" i="13" s="1"/>
  <c r="I8" i="13"/>
  <c r="S7" i="13"/>
  <c r="A1" i="13"/>
  <c r="C65" i="12"/>
  <c r="C64" i="12"/>
  <c r="C62" i="12"/>
  <c r="C61" i="12"/>
  <c r="R24" i="3" s="1"/>
  <c r="T59" i="12"/>
  <c r="S59" i="12"/>
  <c r="M59" i="12"/>
  <c r="L59" i="12"/>
  <c r="K59" i="12"/>
  <c r="J59" i="12"/>
  <c r="I59" i="12"/>
  <c r="T58" i="12"/>
  <c r="S58" i="12"/>
  <c r="N58" i="12"/>
  <c r="T57" i="12"/>
  <c r="S57" i="12"/>
  <c r="M57" i="12"/>
  <c r="L57" i="12"/>
  <c r="K57" i="12"/>
  <c r="J57" i="12"/>
  <c r="I57" i="12"/>
  <c r="T56" i="12"/>
  <c r="S56" i="12"/>
  <c r="N56" i="12"/>
  <c r="T55" i="12"/>
  <c r="S55" i="12"/>
  <c r="E51" i="12"/>
  <c r="Q50" i="12"/>
  <c r="S49" i="12"/>
  <c r="T49" i="12" s="1"/>
  <c r="S48" i="12"/>
  <c r="T48" i="12" s="1"/>
  <c r="E48" i="12"/>
  <c r="S47" i="12"/>
  <c r="T47" i="12" s="1"/>
  <c r="N47" i="12"/>
  <c r="S46" i="12"/>
  <c r="M46" i="12"/>
  <c r="L46" i="12"/>
  <c r="K46" i="12"/>
  <c r="J46" i="12"/>
  <c r="J48" i="12" s="1"/>
  <c r="I46" i="12"/>
  <c r="S45" i="12"/>
  <c r="T45" i="12" s="1"/>
  <c r="M45" i="12"/>
  <c r="L45" i="12"/>
  <c r="K45" i="12"/>
  <c r="J45" i="12"/>
  <c r="I45" i="12"/>
  <c r="E41" i="12"/>
  <c r="D41" i="12"/>
  <c r="Y23" i="5" s="1"/>
  <c r="N40" i="12"/>
  <c r="M40" i="12"/>
  <c r="L40" i="12"/>
  <c r="K40" i="12"/>
  <c r="J40" i="12"/>
  <c r="I40" i="12"/>
  <c r="N36" i="12"/>
  <c r="N46" i="12" s="1"/>
  <c r="M35" i="12"/>
  <c r="L35" i="12"/>
  <c r="K35" i="12"/>
  <c r="J35" i="12"/>
  <c r="I35" i="12"/>
  <c r="D34" i="12"/>
  <c r="E34" i="12" s="1"/>
  <c r="C34" i="12"/>
  <c r="C33" i="12"/>
  <c r="N30" i="12"/>
  <c r="N35" i="12" s="1"/>
  <c r="E29" i="12"/>
  <c r="E28" i="12"/>
  <c r="E27" i="12"/>
  <c r="E26" i="12"/>
  <c r="N24" i="12"/>
  <c r="T22" i="12"/>
  <c r="T26" i="12" s="1"/>
  <c r="T31" i="12" s="1"/>
  <c r="S22" i="12"/>
  <c r="S26" i="12" s="1"/>
  <c r="S31" i="12" s="1"/>
  <c r="N20" i="12"/>
  <c r="N19" i="12"/>
  <c r="N18" i="12"/>
  <c r="E18" i="12"/>
  <c r="N16" i="12"/>
  <c r="J15" i="12"/>
  <c r="J34" i="12" s="1"/>
  <c r="N14" i="12"/>
  <c r="N13" i="12"/>
  <c r="T12" i="12"/>
  <c r="T17" i="12" s="1"/>
  <c r="S12" i="12"/>
  <c r="S17" i="12" s="1"/>
  <c r="M12" i="12"/>
  <c r="M29" i="12" s="1"/>
  <c r="M31" i="12" s="1"/>
  <c r="M32" i="12" s="1"/>
  <c r="L12" i="12"/>
  <c r="L29" i="12" s="1"/>
  <c r="L31" i="12" s="1"/>
  <c r="L32" i="12" s="1"/>
  <c r="K12" i="12"/>
  <c r="K29" i="12" s="1"/>
  <c r="K31" i="12" s="1"/>
  <c r="K32" i="12" s="1"/>
  <c r="J12" i="12"/>
  <c r="J29" i="12" s="1"/>
  <c r="J31" i="12" s="1"/>
  <c r="J32" i="12" s="1"/>
  <c r="I12" i="12"/>
  <c r="I29" i="12" s="1"/>
  <c r="I31" i="12" s="1"/>
  <c r="I32" i="12" s="1"/>
  <c r="N11" i="12"/>
  <c r="N10" i="12"/>
  <c r="N9" i="12"/>
  <c r="I8" i="12"/>
  <c r="T7" i="12"/>
  <c r="S7" i="12"/>
  <c r="A1" i="12"/>
  <c r="C65" i="11"/>
  <c r="C64" i="11"/>
  <c r="C62" i="11"/>
  <c r="C61" i="11"/>
  <c r="T59" i="11"/>
  <c r="S59" i="11"/>
  <c r="M59" i="11"/>
  <c r="L59" i="11"/>
  <c r="K59" i="11"/>
  <c r="J59" i="11"/>
  <c r="I59" i="11"/>
  <c r="T58" i="11"/>
  <c r="S58" i="11"/>
  <c r="N58" i="11"/>
  <c r="T57" i="11"/>
  <c r="S57" i="11"/>
  <c r="M57" i="11"/>
  <c r="L57" i="11"/>
  <c r="K57" i="11"/>
  <c r="J57" i="11"/>
  <c r="I57" i="11"/>
  <c r="T56" i="11"/>
  <c r="S56" i="11"/>
  <c r="N56" i="11"/>
  <c r="T55" i="11"/>
  <c r="S55" i="11"/>
  <c r="E51" i="11"/>
  <c r="Q50" i="11"/>
  <c r="S49" i="11"/>
  <c r="T49" i="11" s="1"/>
  <c r="S48" i="11"/>
  <c r="T48" i="11" s="1"/>
  <c r="E48" i="11"/>
  <c r="S47" i="11"/>
  <c r="T47" i="11" s="1"/>
  <c r="N47" i="11"/>
  <c r="S46" i="11"/>
  <c r="T46" i="11" s="1"/>
  <c r="M46" i="11"/>
  <c r="L46" i="11"/>
  <c r="K46" i="11"/>
  <c r="K48" i="11" s="1"/>
  <c r="J46" i="11"/>
  <c r="I46" i="11"/>
  <c r="S45" i="11"/>
  <c r="M45" i="11"/>
  <c r="L45" i="11"/>
  <c r="L48" i="11" s="1"/>
  <c r="K45" i="11"/>
  <c r="J45" i="11"/>
  <c r="J48" i="11" s="1"/>
  <c r="I45" i="11"/>
  <c r="E41" i="11"/>
  <c r="D41" i="11"/>
  <c r="M40" i="11"/>
  <c r="L40" i="11"/>
  <c r="K40" i="11"/>
  <c r="J40" i="11"/>
  <c r="I40" i="11"/>
  <c r="N36" i="11"/>
  <c r="N46" i="11" s="1"/>
  <c r="N35" i="1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N16" i="11"/>
  <c r="I15" i="11"/>
  <c r="I34" i="11" s="1"/>
  <c r="I37" i="11" s="1"/>
  <c r="I38" i="11" s="1"/>
  <c r="N14" i="11"/>
  <c r="N13" i="11"/>
  <c r="T12" i="11"/>
  <c r="T17" i="11" s="1"/>
  <c r="S12" i="11"/>
  <c r="S17" i="11" s="1"/>
  <c r="M12" i="11"/>
  <c r="M29" i="11" s="1"/>
  <c r="M31" i="11" s="1"/>
  <c r="M32" i="11" s="1"/>
  <c r="L12" i="11"/>
  <c r="L15" i="11" s="1"/>
  <c r="L17" i="11" s="1"/>
  <c r="L21" i="11" s="1"/>
  <c r="K12" i="11"/>
  <c r="J12" i="11"/>
  <c r="J29" i="11" s="1"/>
  <c r="J31" i="11" s="1"/>
  <c r="J32" i="11" s="1"/>
  <c r="I12" i="11"/>
  <c r="I29" i="11" s="1"/>
  <c r="I31" i="11" s="1"/>
  <c r="I32" i="11" s="1"/>
  <c r="N11" i="11"/>
  <c r="N10" i="11"/>
  <c r="C36" i="11" s="1"/>
  <c r="N9" i="11"/>
  <c r="C34" i="11" s="1"/>
  <c r="I8" i="11"/>
  <c r="S7" i="11"/>
  <c r="A1" i="11"/>
  <c r="C65" i="10"/>
  <c r="C64" i="10"/>
  <c r="C62" i="10"/>
  <c r="C61" i="10"/>
  <c r="R17" i="3" s="1"/>
  <c r="T59" i="10"/>
  <c r="S59" i="10"/>
  <c r="M59" i="10"/>
  <c r="L59" i="10"/>
  <c r="K59" i="10"/>
  <c r="J59" i="10"/>
  <c r="I59" i="10"/>
  <c r="T58" i="10"/>
  <c r="S58" i="10"/>
  <c r="N58" i="10"/>
  <c r="T57" i="10"/>
  <c r="S57" i="10"/>
  <c r="M57" i="10"/>
  <c r="L57" i="10"/>
  <c r="K57" i="10"/>
  <c r="J57" i="10"/>
  <c r="I57" i="10"/>
  <c r="T56" i="10"/>
  <c r="S56" i="10"/>
  <c r="N56" i="10"/>
  <c r="N40" i="10" s="1"/>
  <c r="I17" i="3" s="1"/>
  <c r="T55" i="10"/>
  <c r="S55" i="10"/>
  <c r="E51" i="10"/>
  <c r="L17" i="4" s="1"/>
  <c r="Q50" i="10"/>
  <c r="S49" i="10"/>
  <c r="T49" i="10" s="1"/>
  <c r="S48" i="10"/>
  <c r="T48" i="10" s="1"/>
  <c r="E48" i="10"/>
  <c r="T47" i="10"/>
  <c r="S47" i="10"/>
  <c r="N47" i="10"/>
  <c r="S46" i="10"/>
  <c r="T46" i="10" s="1"/>
  <c r="M46" i="10"/>
  <c r="L46" i="10"/>
  <c r="K46" i="10"/>
  <c r="J46" i="10"/>
  <c r="I46" i="10"/>
  <c r="S45" i="10"/>
  <c r="T45" i="10" s="1"/>
  <c r="M45" i="10"/>
  <c r="L45" i="10"/>
  <c r="K45" i="10"/>
  <c r="J45" i="10"/>
  <c r="I45" i="10"/>
  <c r="E41" i="10"/>
  <c r="D41" i="10"/>
  <c r="M40" i="10"/>
  <c r="L40" i="10"/>
  <c r="K40" i="10"/>
  <c r="J40" i="10"/>
  <c r="I40" i="10"/>
  <c r="N36" i="10"/>
  <c r="N46" i="10" s="1"/>
  <c r="M35" i="10"/>
  <c r="L35" i="10"/>
  <c r="K35" i="10"/>
  <c r="J35" i="10"/>
  <c r="I35" i="10"/>
  <c r="D34" i="10"/>
  <c r="E34" i="10" s="1"/>
  <c r="C33" i="10"/>
  <c r="N30" i="10"/>
  <c r="N45" i="10" s="1"/>
  <c r="L29" i="10"/>
  <c r="L31" i="10" s="1"/>
  <c r="L32" i="10" s="1"/>
  <c r="E29" i="10"/>
  <c r="E28" i="10"/>
  <c r="E27" i="10"/>
  <c r="E26" i="10"/>
  <c r="N24" i="10"/>
  <c r="T22" i="10"/>
  <c r="T26" i="10" s="1"/>
  <c r="T31" i="10" s="1"/>
  <c r="S22" i="10"/>
  <c r="S26" i="10" s="1"/>
  <c r="S31" i="10" s="1"/>
  <c r="N20" i="10"/>
  <c r="N19" i="10"/>
  <c r="N18" i="10"/>
  <c r="E18" i="10"/>
  <c r="N16" i="10"/>
  <c r="N14" i="10"/>
  <c r="N13" i="10"/>
  <c r="T12" i="10"/>
  <c r="T17" i="10" s="1"/>
  <c r="S12" i="10"/>
  <c r="S17" i="10" s="1"/>
  <c r="M12" i="10"/>
  <c r="M29" i="10" s="1"/>
  <c r="M31" i="10" s="1"/>
  <c r="M32" i="10" s="1"/>
  <c r="L12" i="10"/>
  <c r="L15" i="10" s="1"/>
  <c r="K12" i="10"/>
  <c r="K29" i="10" s="1"/>
  <c r="K31" i="10" s="1"/>
  <c r="K32" i="10" s="1"/>
  <c r="J12" i="10"/>
  <c r="J29" i="10" s="1"/>
  <c r="J31" i="10" s="1"/>
  <c r="J32" i="10" s="1"/>
  <c r="I12" i="10"/>
  <c r="N11" i="10"/>
  <c r="N10" i="10"/>
  <c r="N9" i="10"/>
  <c r="T7" i="10" s="1"/>
  <c r="I8" i="10"/>
  <c r="S7" i="10"/>
  <c r="A1" i="10"/>
  <c r="C65" i="9"/>
  <c r="C64" i="9"/>
  <c r="S16" i="3" s="1"/>
  <c r="C62" i="9"/>
  <c r="C61" i="9"/>
  <c r="T59" i="9"/>
  <c r="S59" i="9"/>
  <c r="M59" i="9"/>
  <c r="L59" i="9"/>
  <c r="K59" i="9"/>
  <c r="J59" i="9"/>
  <c r="I59" i="9"/>
  <c r="T58" i="9"/>
  <c r="S58" i="9"/>
  <c r="N58" i="9"/>
  <c r="T57" i="9"/>
  <c r="S57" i="9"/>
  <c r="M57" i="9"/>
  <c r="L57" i="9"/>
  <c r="K57" i="9"/>
  <c r="J57" i="9"/>
  <c r="I57" i="9"/>
  <c r="T56" i="9"/>
  <c r="S56" i="9"/>
  <c r="N56" i="9"/>
  <c r="N40" i="9" s="1"/>
  <c r="I16" i="3" s="1"/>
  <c r="T55" i="9"/>
  <c r="S55" i="9"/>
  <c r="E51" i="9"/>
  <c r="Q50" i="9"/>
  <c r="S49" i="9"/>
  <c r="T49" i="9" s="1"/>
  <c r="S48" i="9"/>
  <c r="T48" i="9" s="1"/>
  <c r="E48" i="9"/>
  <c r="S47" i="9"/>
  <c r="T47" i="9" s="1"/>
  <c r="N47" i="9"/>
  <c r="S46" i="9"/>
  <c r="T46" i="9" s="1"/>
  <c r="M46" i="9"/>
  <c r="L46" i="9"/>
  <c r="K46" i="9"/>
  <c r="J46" i="9"/>
  <c r="I46" i="9"/>
  <c r="T45" i="9"/>
  <c r="S45" i="9"/>
  <c r="M45" i="9"/>
  <c r="L45" i="9"/>
  <c r="L48" i="9" s="1"/>
  <c r="K45" i="9"/>
  <c r="J45" i="9"/>
  <c r="I45" i="9"/>
  <c r="E41" i="9"/>
  <c r="D41" i="9"/>
  <c r="M40" i="9"/>
  <c r="L40" i="9"/>
  <c r="K40" i="9"/>
  <c r="J40" i="9"/>
  <c r="I40" i="9"/>
  <c r="N36" i="9"/>
  <c r="N46" i="9" s="1"/>
  <c r="N35" i="9"/>
  <c r="M35" i="9"/>
  <c r="L35" i="9"/>
  <c r="K35" i="9"/>
  <c r="J35" i="9"/>
  <c r="I35" i="9"/>
  <c r="D34" i="9"/>
  <c r="E34" i="9" s="1"/>
  <c r="C33" i="9"/>
  <c r="N30" i="9"/>
  <c r="N45" i="9" s="1"/>
  <c r="E29" i="9"/>
  <c r="E28" i="9"/>
  <c r="E27" i="9"/>
  <c r="E26" i="9"/>
  <c r="N24" i="9"/>
  <c r="T22" i="9"/>
  <c r="T26" i="9" s="1"/>
  <c r="T31" i="9" s="1"/>
  <c r="S22" i="9"/>
  <c r="S26" i="9" s="1"/>
  <c r="S31" i="9" s="1"/>
  <c r="N20" i="9"/>
  <c r="N19" i="9"/>
  <c r="N18" i="9"/>
  <c r="E18" i="9"/>
  <c r="E15" i="5" s="1"/>
  <c r="N16" i="9"/>
  <c r="J15" i="9"/>
  <c r="N14" i="9"/>
  <c r="N13" i="9"/>
  <c r="T12" i="9"/>
  <c r="T17" i="9" s="1"/>
  <c r="T32" i="9" s="1"/>
  <c r="S12" i="9"/>
  <c r="S17" i="9" s="1"/>
  <c r="M12" i="9"/>
  <c r="M29" i="9" s="1"/>
  <c r="M31" i="9" s="1"/>
  <c r="M32" i="9" s="1"/>
  <c r="L12" i="9"/>
  <c r="L29" i="9" s="1"/>
  <c r="L31" i="9" s="1"/>
  <c r="L32" i="9" s="1"/>
  <c r="K12" i="9"/>
  <c r="K15" i="9" s="1"/>
  <c r="K17" i="9" s="1"/>
  <c r="J12" i="9"/>
  <c r="J29" i="9" s="1"/>
  <c r="J31" i="9" s="1"/>
  <c r="J32" i="9" s="1"/>
  <c r="I12" i="9"/>
  <c r="I29" i="9" s="1"/>
  <c r="I31" i="9" s="1"/>
  <c r="I32" i="9" s="1"/>
  <c r="N11" i="9"/>
  <c r="N10" i="9"/>
  <c r="C36" i="9" s="1"/>
  <c r="N9" i="9"/>
  <c r="C34" i="9" s="1"/>
  <c r="I8" i="9"/>
  <c r="S7" i="9"/>
  <c r="A1" i="9"/>
  <c r="C65" i="8"/>
  <c r="C64" i="8"/>
  <c r="S15" i="3" s="1"/>
  <c r="C62" i="8"/>
  <c r="C61" i="8"/>
  <c r="T59" i="8"/>
  <c r="S59" i="8"/>
  <c r="M59" i="8"/>
  <c r="L59" i="8"/>
  <c r="K59" i="8"/>
  <c r="J59" i="8"/>
  <c r="I59" i="8"/>
  <c r="T58" i="8"/>
  <c r="S58" i="8"/>
  <c r="N58" i="8"/>
  <c r="T57" i="8"/>
  <c r="S57" i="8"/>
  <c r="M57" i="8"/>
  <c r="L57" i="8"/>
  <c r="K57" i="8"/>
  <c r="J57" i="8"/>
  <c r="I57" i="8"/>
  <c r="T56" i="8"/>
  <c r="S56" i="8"/>
  <c r="N56" i="8"/>
  <c r="N40" i="8" s="1"/>
  <c r="I15" i="3" s="1"/>
  <c r="T55" i="8"/>
  <c r="S55" i="8"/>
  <c r="E51" i="8"/>
  <c r="L15" i="4" s="1"/>
  <c r="Q50" i="8"/>
  <c r="T49" i="8"/>
  <c r="S49" i="8"/>
  <c r="S48" i="8"/>
  <c r="T48" i="8" s="1"/>
  <c r="J48" i="8"/>
  <c r="E48" i="8"/>
  <c r="J15" i="4" s="1"/>
  <c r="J20" i="4" s="1"/>
  <c r="S47" i="8"/>
  <c r="T47" i="8" s="1"/>
  <c r="N47" i="8"/>
  <c r="S46" i="8"/>
  <c r="T46" i="8" s="1"/>
  <c r="M46" i="8"/>
  <c r="M48" i="8" s="1"/>
  <c r="L46" i="8"/>
  <c r="K46" i="8"/>
  <c r="J46" i="8"/>
  <c r="I46" i="8"/>
  <c r="S45" i="8"/>
  <c r="M45" i="8"/>
  <c r="L45" i="8"/>
  <c r="L48" i="8" s="1"/>
  <c r="K45" i="8"/>
  <c r="J45" i="8"/>
  <c r="I45" i="8"/>
  <c r="E41" i="8"/>
  <c r="Z14" i="5" s="1"/>
  <c r="D41" i="8"/>
  <c r="M40" i="8"/>
  <c r="L40" i="8"/>
  <c r="K40" i="8"/>
  <c r="J40" i="8"/>
  <c r="I40" i="8"/>
  <c r="N36" i="8"/>
  <c r="N46" i="8" s="1"/>
  <c r="M35" i="8"/>
  <c r="L35" i="8"/>
  <c r="K35" i="8"/>
  <c r="J35" i="8"/>
  <c r="I35" i="8"/>
  <c r="D34" i="8"/>
  <c r="E34" i="8" s="1"/>
  <c r="C33" i="8"/>
  <c r="N30" i="8"/>
  <c r="N45" i="8" s="1"/>
  <c r="E29" i="8"/>
  <c r="E28" i="8"/>
  <c r="E27" i="8"/>
  <c r="E26" i="8"/>
  <c r="N24" i="8"/>
  <c r="T22" i="8"/>
  <c r="T26" i="8" s="1"/>
  <c r="T31" i="8" s="1"/>
  <c r="S22" i="8"/>
  <c r="S26" i="8" s="1"/>
  <c r="S31" i="8" s="1"/>
  <c r="N20" i="8"/>
  <c r="N19" i="8"/>
  <c r="N18" i="8"/>
  <c r="E18" i="8"/>
  <c r="N16" i="8"/>
  <c r="I15" i="8"/>
  <c r="I17" i="8" s="1"/>
  <c r="N14" i="8"/>
  <c r="N13" i="8"/>
  <c r="T12" i="8"/>
  <c r="T17" i="8" s="1"/>
  <c r="T32" i="8" s="1"/>
  <c r="S12" i="8"/>
  <c r="S17" i="8" s="1"/>
  <c r="S32" i="8" s="1"/>
  <c r="M12" i="8"/>
  <c r="M29" i="8" s="1"/>
  <c r="M31" i="8" s="1"/>
  <c r="M32" i="8" s="1"/>
  <c r="L12" i="8"/>
  <c r="L29" i="8" s="1"/>
  <c r="L31" i="8" s="1"/>
  <c r="L32" i="8" s="1"/>
  <c r="K12" i="8"/>
  <c r="K15" i="8" s="1"/>
  <c r="J12" i="8"/>
  <c r="J15" i="8" s="1"/>
  <c r="I12" i="8"/>
  <c r="I29" i="8" s="1"/>
  <c r="I31" i="8" s="1"/>
  <c r="I32" i="8" s="1"/>
  <c r="N11" i="8"/>
  <c r="N10" i="8"/>
  <c r="C36" i="8" s="1"/>
  <c r="N9" i="8"/>
  <c r="C34" i="8" s="1"/>
  <c r="I8" i="8"/>
  <c r="S7" i="8"/>
  <c r="A1" i="8"/>
  <c r="C65" i="7"/>
  <c r="C64" i="7"/>
  <c r="C62" i="7"/>
  <c r="C61" i="7"/>
  <c r="T59" i="7"/>
  <c r="S59" i="7"/>
  <c r="M59" i="7"/>
  <c r="L59" i="7"/>
  <c r="K59" i="7"/>
  <c r="J59" i="7"/>
  <c r="I59" i="7"/>
  <c r="T58" i="7"/>
  <c r="S58" i="7"/>
  <c r="N58" i="7"/>
  <c r="T57" i="7"/>
  <c r="S57" i="7"/>
  <c r="M57" i="7"/>
  <c r="L57" i="7"/>
  <c r="K57" i="7"/>
  <c r="J57" i="7"/>
  <c r="I57" i="7"/>
  <c r="T56" i="7"/>
  <c r="S56" i="7"/>
  <c r="N56" i="7"/>
  <c r="N40" i="7" s="1"/>
  <c r="I14" i="3" s="1"/>
  <c r="T55" i="7"/>
  <c r="S55" i="7"/>
  <c r="E51" i="7"/>
  <c r="Q50" i="7"/>
  <c r="S49" i="7"/>
  <c r="T49" i="7" s="1"/>
  <c r="S48" i="7"/>
  <c r="T48" i="7" s="1"/>
  <c r="E48" i="7"/>
  <c r="S47" i="7"/>
  <c r="T47" i="7" s="1"/>
  <c r="N47" i="7"/>
  <c r="S46" i="7"/>
  <c r="T46" i="7" s="1"/>
  <c r="M46" i="7"/>
  <c r="L46" i="7"/>
  <c r="K46" i="7"/>
  <c r="J46" i="7"/>
  <c r="I46" i="7"/>
  <c r="S45" i="7"/>
  <c r="T45" i="7" s="1"/>
  <c r="M45" i="7"/>
  <c r="L45" i="7"/>
  <c r="K45" i="7"/>
  <c r="J45" i="7"/>
  <c r="J48" i="7" s="1"/>
  <c r="I45" i="7"/>
  <c r="E41" i="7"/>
  <c r="Z13" i="5" s="1"/>
  <c r="D41" i="7"/>
  <c r="Y13" i="5" s="1"/>
  <c r="M40" i="7"/>
  <c r="L40" i="7"/>
  <c r="K40" i="7"/>
  <c r="J40" i="7"/>
  <c r="I40" i="7"/>
  <c r="N36" i="7"/>
  <c r="N46" i="7" s="1"/>
  <c r="M35" i="7"/>
  <c r="L35" i="7"/>
  <c r="K35" i="7"/>
  <c r="J35" i="7"/>
  <c r="I35" i="7"/>
  <c r="D34" i="7"/>
  <c r="E34" i="7" s="1"/>
  <c r="C33" i="7"/>
  <c r="N30" i="7"/>
  <c r="N35" i="7" s="1"/>
  <c r="E29" i="7"/>
  <c r="E28" i="7"/>
  <c r="E27" i="7"/>
  <c r="E26" i="7"/>
  <c r="N24" i="7"/>
  <c r="T22" i="7"/>
  <c r="T26" i="7" s="1"/>
  <c r="T31" i="7" s="1"/>
  <c r="S22" i="7"/>
  <c r="S26" i="7" s="1"/>
  <c r="S31" i="7" s="1"/>
  <c r="N20" i="7"/>
  <c r="N19" i="7"/>
  <c r="N18" i="7"/>
  <c r="E18" i="7"/>
  <c r="N16" i="7"/>
  <c r="J15" i="7"/>
  <c r="J17" i="7" s="1"/>
  <c r="J22" i="7" s="1"/>
  <c r="I15" i="7"/>
  <c r="I17" i="7" s="1"/>
  <c r="N14" i="7"/>
  <c r="N13" i="7"/>
  <c r="T12" i="7"/>
  <c r="T17" i="7" s="1"/>
  <c r="S12" i="7"/>
  <c r="S17" i="7" s="1"/>
  <c r="M12" i="7"/>
  <c r="L12" i="7"/>
  <c r="K12" i="7"/>
  <c r="K29" i="7" s="1"/>
  <c r="K31" i="7" s="1"/>
  <c r="K32" i="7" s="1"/>
  <c r="J12" i="7"/>
  <c r="J29" i="7" s="1"/>
  <c r="J31" i="7" s="1"/>
  <c r="J32" i="7" s="1"/>
  <c r="I12" i="7"/>
  <c r="I29" i="7" s="1"/>
  <c r="I31" i="7" s="1"/>
  <c r="I32" i="7" s="1"/>
  <c r="N11" i="7"/>
  <c r="N10" i="7"/>
  <c r="N59" i="7" s="1"/>
  <c r="N9" i="7"/>
  <c r="C34" i="7" s="1"/>
  <c r="I8" i="7"/>
  <c r="S7" i="7"/>
  <c r="A1" i="7"/>
  <c r="C65" i="6"/>
  <c r="C64" i="6"/>
  <c r="C62" i="6"/>
  <c r="C61" i="6"/>
  <c r="T59" i="6"/>
  <c r="S59" i="6"/>
  <c r="M59" i="6"/>
  <c r="L59" i="6"/>
  <c r="K59" i="6"/>
  <c r="J59" i="6"/>
  <c r="I59" i="6"/>
  <c r="T58" i="6"/>
  <c r="S58" i="6"/>
  <c r="N58" i="6"/>
  <c r="T57" i="6"/>
  <c r="S57" i="6"/>
  <c r="M57" i="6"/>
  <c r="L57" i="6"/>
  <c r="K57" i="6"/>
  <c r="J57" i="6"/>
  <c r="I57" i="6"/>
  <c r="T56" i="6"/>
  <c r="S56" i="6"/>
  <c r="N56" i="6"/>
  <c r="T55" i="6"/>
  <c r="S55" i="6"/>
  <c r="E51" i="6"/>
  <c r="L11" i="4" s="1"/>
  <c r="Q50" i="6"/>
  <c r="S49" i="6"/>
  <c r="T49" i="6" s="1"/>
  <c r="T48" i="6"/>
  <c r="S48" i="6"/>
  <c r="E48" i="6"/>
  <c r="J11" i="4" s="1"/>
  <c r="S47" i="6"/>
  <c r="T47" i="6" s="1"/>
  <c r="N47" i="6"/>
  <c r="S46" i="6"/>
  <c r="M46" i="6"/>
  <c r="L46" i="6"/>
  <c r="K46" i="6"/>
  <c r="J46" i="6"/>
  <c r="I46" i="6"/>
  <c r="S45" i="6"/>
  <c r="T45" i="6" s="1"/>
  <c r="M45" i="6"/>
  <c r="L45" i="6"/>
  <c r="K45" i="6"/>
  <c r="J45" i="6"/>
  <c r="I45" i="6"/>
  <c r="E41" i="6"/>
  <c r="Z10" i="5" s="1"/>
  <c r="D41" i="6"/>
  <c r="Y10" i="5" s="1"/>
  <c r="N40" i="6"/>
  <c r="M40" i="6"/>
  <c r="L40" i="6"/>
  <c r="K40" i="6"/>
  <c r="J40" i="6"/>
  <c r="I40" i="6"/>
  <c r="N36" i="6"/>
  <c r="N46" i="6" s="1"/>
  <c r="N35" i="6"/>
  <c r="M35" i="6"/>
  <c r="L35" i="6"/>
  <c r="K35" i="6"/>
  <c r="J35" i="6"/>
  <c r="I35" i="6"/>
  <c r="D34" i="6"/>
  <c r="E34" i="6" s="1"/>
  <c r="C33" i="6"/>
  <c r="N30" i="6"/>
  <c r="N45" i="6" s="1"/>
  <c r="E29" i="6"/>
  <c r="E28" i="6"/>
  <c r="E27" i="6"/>
  <c r="E26" i="6"/>
  <c r="N24" i="6"/>
  <c r="T22" i="6"/>
  <c r="T26" i="6" s="1"/>
  <c r="T31" i="6" s="1"/>
  <c r="S22" i="6"/>
  <c r="S26" i="6" s="1"/>
  <c r="S31" i="6" s="1"/>
  <c r="N20" i="6"/>
  <c r="N19" i="6"/>
  <c r="N18" i="6"/>
  <c r="E18" i="6"/>
  <c r="E10" i="5" s="1"/>
  <c r="N16" i="6"/>
  <c r="K15" i="6"/>
  <c r="K17" i="6" s="1"/>
  <c r="N14" i="6"/>
  <c r="N13" i="6"/>
  <c r="T12" i="6"/>
  <c r="T17" i="6" s="1"/>
  <c r="S12" i="6"/>
  <c r="S17" i="6" s="1"/>
  <c r="M12" i="6"/>
  <c r="M15" i="6" s="1"/>
  <c r="L12" i="6"/>
  <c r="L29" i="6" s="1"/>
  <c r="L31" i="6" s="1"/>
  <c r="L32" i="6" s="1"/>
  <c r="K12" i="6"/>
  <c r="K29" i="6" s="1"/>
  <c r="K31" i="6" s="1"/>
  <c r="K32" i="6" s="1"/>
  <c r="J12" i="6"/>
  <c r="J15" i="6" s="1"/>
  <c r="I12" i="6"/>
  <c r="N11" i="6"/>
  <c r="N10" i="6"/>
  <c r="C36" i="6" s="1"/>
  <c r="N9" i="6"/>
  <c r="T7" i="6" s="1"/>
  <c r="I8" i="6"/>
  <c r="S7" i="6"/>
  <c r="A1" i="6"/>
  <c r="AB37" i="5"/>
  <c r="Z37" i="5"/>
  <c r="Y37" i="5"/>
  <c r="E37" i="5"/>
  <c r="D37" i="5"/>
  <c r="C37" i="5"/>
  <c r="B37" i="5"/>
  <c r="AB36" i="5"/>
  <c r="Z36" i="5"/>
  <c r="Y36" i="5"/>
  <c r="E36" i="5"/>
  <c r="D36" i="5"/>
  <c r="C36" i="5"/>
  <c r="B36" i="5"/>
  <c r="AB35" i="5"/>
  <c r="Y35" i="5"/>
  <c r="E35" i="5"/>
  <c r="D35" i="5"/>
  <c r="C35" i="5"/>
  <c r="B35" i="5"/>
  <c r="AB34" i="5"/>
  <c r="Z34" i="5"/>
  <c r="Y34" i="5"/>
  <c r="E34" i="5"/>
  <c r="D34" i="5"/>
  <c r="C34" i="5"/>
  <c r="B34" i="5"/>
  <c r="AB33" i="5"/>
  <c r="AB39" i="5" s="1"/>
  <c r="Z33" i="5"/>
  <c r="Y33" i="5"/>
  <c r="D33" i="5"/>
  <c r="C33" i="5"/>
  <c r="B33" i="5"/>
  <c r="AB27" i="5"/>
  <c r="Z27" i="5"/>
  <c r="Y27" i="5"/>
  <c r="E27" i="5"/>
  <c r="D27" i="5"/>
  <c r="C27" i="5"/>
  <c r="B27" i="5"/>
  <c r="AB26" i="5"/>
  <c r="Z26" i="5"/>
  <c r="Y26" i="5"/>
  <c r="E26" i="5"/>
  <c r="D26" i="5"/>
  <c r="C26" i="5"/>
  <c r="B26" i="5"/>
  <c r="AB25" i="5"/>
  <c r="Z25" i="5"/>
  <c r="Y25" i="5"/>
  <c r="D25" i="5"/>
  <c r="C25" i="5"/>
  <c r="B25" i="5"/>
  <c r="AB24" i="5"/>
  <c r="Y24" i="5"/>
  <c r="E24" i="5"/>
  <c r="D24" i="5"/>
  <c r="C24" i="5"/>
  <c r="B24" i="5"/>
  <c r="AB23" i="5"/>
  <c r="Z23" i="5"/>
  <c r="E23" i="5"/>
  <c r="D23" i="5"/>
  <c r="C23" i="5"/>
  <c r="B23" i="5"/>
  <c r="AB17" i="5"/>
  <c r="Z17" i="5"/>
  <c r="Y17" i="5"/>
  <c r="E17" i="5"/>
  <c r="D17" i="5"/>
  <c r="C17" i="5"/>
  <c r="B17" i="5"/>
  <c r="AB16" i="5"/>
  <c r="Z16" i="5"/>
  <c r="Y16" i="5"/>
  <c r="E16" i="5"/>
  <c r="D16" i="5"/>
  <c r="C16" i="5"/>
  <c r="B16" i="5"/>
  <c r="AB15" i="5"/>
  <c r="Z15" i="5"/>
  <c r="Y15" i="5"/>
  <c r="D15" i="5"/>
  <c r="C15" i="5"/>
  <c r="B15" i="5"/>
  <c r="AB14" i="5"/>
  <c r="Y14" i="5"/>
  <c r="E14" i="5"/>
  <c r="D14" i="5"/>
  <c r="C14" i="5"/>
  <c r="B14" i="5"/>
  <c r="AB13" i="5"/>
  <c r="E13" i="5"/>
  <c r="D13" i="5"/>
  <c r="C13" i="5"/>
  <c r="B13" i="5"/>
  <c r="AB10" i="5"/>
  <c r="D10" i="5"/>
  <c r="C10" i="5"/>
  <c r="B10" i="5"/>
  <c r="U38" i="4"/>
  <c r="T38" i="4"/>
  <c r="L38" i="4"/>
  <c r="J38" i="4"/>
  <c r="E38" i="4"/>
  <c r="D38" i="4"/>
  <c r="C38" i="4"/>
  <c r="B38" i="4"/>
  <c r="U37" i="4"/>
  <c r="T37" i="4"/>
  <c r="L37" i="4"/>
  <c r="J37" i="4"/>
  <c r="E37" i="4"/>
  <c r="D37" i="4"/>
  <c r="C37" i="4"/>
  <c r="B37" i="4"/>
  <c r="U36" i="4"/>
  <c r="T36" i="4"/>
  <c r="L36" i="4"/>
  <c r="J36" i="4"/>
  <c r="E36" i="4"/>
  <c r="D36" i="4"/>
  <c r="C36" i="4"/>
  <c r="B36" i="4"/>
  <c r="U35" i="4"/>
  <c r="T35" i="4"/>
  <c r="L35" i="4"/>
  <c r="L41" i="4" s="1"/>
  <c r="J35" i="4"/>
  <c r="E35" i="4"/>
  <c r="D35" i="4"/>
  <c r="C35" i="4"/>
  <c r="B35" i="4"/>
  <c r="U34" i="4"/>
  <c r="T34" i="4"/>
  <c r="L34" i="4"/>
  <c r="E34" i="4"/>
  <c r="D34" i="4"/>
  <c r="C34" i="4"/>
  <c r="B34" i="4"/>
  <c r="U28" i="4"/>
  <c r="T28" i="4"/>
  <c r="J28" i="4"/>
  <c r="E28" i="4"/>
  <c r="D28" i="4"/>
  <c r="C28" i="4"/>
  <c r="B28" i="4"/>
  <c r="U27" i="4"/>
  <c r="T27" i="4"/>
  <c r="L27" i="4"/>
  <c r="J27" i="4"/>
  <c r="E27" i="4"/>
  <c r="D27" i="4"/>
  <c r="C27" i="4"/>
  <c r="B27" i="4"/>
  <c r="U26" i="4"/>
  <c r="T26" i="4"/>
  <c r="L26" i="4"/>
  <c r="J26" i="4"/>
  <c r="E26" i="4"/>
  <c r="D26" i="4"/>
  <c r="C26" i="4"/>
  <c r="B26" i="4"/>
  <c r="U25" i="4"/>
  <c r="T25" i="4"/>
  <c r="L25" i="4"/>
  <c r="J25" i="4"/>
  <c r="E25" i="4"/>
  <c r="E30" i="4" s="1"/>
  <c r="D25" i="4"/>
  <c r="C25" i="4"/>
  <c r="B25" i="4"/>
  <c r="U24" i="4"/>
  <c r="T24" i="4"/>
  <c r="L24" i="4"/>
  <c r="J24" i="4"/>
  <c r="E24" i="4"/>
  <c r="D24" i="4"/>
  <c r="C24" i="4"/>
  <c r="B24" i="4"/>
  <c r="U18" i="4"/>
  <c r="T18" i="4"/>
  <c r="L18" i="4"/>
  <c r="J18" i="4"/>
  <c r="E18" i="4"/>
  <c r="D18" i="4"/>
  <c r="C18" i="4"/>
  <c r="B18" i="4"/>
  <c r="U17" i="4"/>
  <c r="T17" i="4"/>
  <c r="J17" i="4"/>
  <c r="E17" i="4"/>
  <c r="D17" i="4"/>
  <c r="C17" i="4"/>
  <c r="B17" i="4"/>
  <c r="U16" i="4"/>
  <c r="T16" i="4"/>
  <c r="L16" i="4"/>
  <c r="J16" i="4"/>
  <c r="E16" i="4"/>
  <c r="D16" i="4"/>
  <c r="C16" i="4"/>
  <c r="B16" i="4"/>
  <c r="U15" i="4"/>
  <c r="T15" i="4"/>
  <c r="E15" i="4"/>
  <c r="D15" i="4"/>
  <c r="C15" i="4"/>
  <c r="B15" i="4"/>
  <c r="U14" i="4"/>
  <c r="T14" i="4"/>
  <c r="L14" i="4"/>
  <c r="J14" i="4"/>
  <c r="E14" i="4"/>
  <c r="D14" i="4"/>
  <c r="C14" i="4"/>
  <c r="B14" i="4"/>
  <c r="U11" i="4"/>
  <c r="T11" i="4"/>
  <c r="E11" i="4"/>
  <c r="D11" i="4"/>
  <c r="C11" i="4"/>
  <c r="B11" i="4"/>
  <c r="Q49" i="3"/>
  <c r="Q48" i="3"/>
  <c r="X38" i="3"/>
  <c r="S38" i="3"/>
  <c r="R38" i="3"/>
  <c r="G38" i="3"/>
  <c r="C38" i="3"/>
  <c r="B38" i="3"/>
  <c r="X37" i="3"/>
  <c r="S37" i="3"/>
  <c r="G37" i="3"/>
  <c r="C37" i="3"/>
  <c r="B37" i="3"/>
  <c r="X36" i="3"/>
  <c r="R36" i="3"/>
  <c r="G36" i="3"/>
  <c r="C36" i="3"/>
  <c r="B36" i="3"/>
  <c r="X35" i="3"/>
  <c r="S35" i="3"/>
  <c r="R35" i="3"/>
  <c r="C35" i="3"/>
  <c r="B35" i="3"/>
  <c r="X34" i="3"/>
  <c r="S34" i="3"/>
  <c r="R34" i="3"/>
  <c r="G34" i="3"/>
  <c r="C34" i="3"/>
  <c r="B34" i="3"/>
  <c r="X28" i="3"/>
  <c r="S28" i="3"/>
  <c r="R28" i="3"/>
  <c r="G28" i="3"/>
  <c r="C28" i="3"/>
  <c r="B28" i="3"/>
  <c r="X27" i="3"/>
  <c r="S27" i="3"/>
  <c r="G27" i="3"/>
  <c r="C27" i="3"/>
  <c r="B27" i="3"/>
  <c r="X26" i="3"/>
  <c r="S26" i="3"/>
  <c r="G26" i="3"/>
  <c r="C26" i="3"/>
  <c r="B26" i="3"/>
  <c r="X25" i="3"/>
  <c r="S25" i="3"/>
  <c r="R25" i="3"/>
  <c r="G25" i="3"/>
  <c r="C25" i="3"/>
  <c r="B25" i="3"/>
  <c r="X24" i="3"/>
  <c r="X31" i="3" s="1"/>
  <c r="S24" i="3"/>
  <c r="I24" i="3"/>
  <c r="C24" i="3"/>
  <c r="B24" i="3"/>
  <c r="X18" i="3"/>
  <c r="S18" i="3"/>
  <c r="R18" i="3"/>
  <c r="G18" i="3"/>
  <c r="C18" i="3"/>
  <c r="B18" i="3"/>
  <c r="X17" i="3"/>
  <c r="S17" i="3"/>
  <c r="G17" i="3"/>
  <c r="C17" i="3"/>
  <c r="B17" i="3"/>
  <c r="X16" i="3"/>
  <c r="R16" i="3"/>
  <c r="R20" i="3" s="1"/>
  <c r="G16" i="3"/>
  <c r="C16" i="3"/>
  <c r="B16" i="3"/>
  <c r="X15" i="3"/>
  <c r="R15" i="3"/>
  <c r="G15" i="3"/>
  <c r="C15" i="3"/>
  <c r="B15" i="3"/>
  <c r="X14" i="3"/>
  <c r="S14" i="3"/>
  <c r="R14" i="3"/>
  <c r="G14" i="3"/>
  <c r="C14" i="3"/>
  <c r="B14" i="3"/>
  <c r="X11" i="3"/>
  <c r="S11" i="3"/>
  <c r="R11" i="3"/>
  <c r="G11" i="3"/>
  <c r="C11" i="3"/>
  <c r="B11" i="3"/>
  <c r="F20" i="2"/>
  <c r="C20" i="2"/>
  <c r="B20" i="2"/>
  <c r="A20" i="2"/>
  <c r="F19" i="2"/>
  <c r="C19" i="2"/>
  <c r="B19" i="2"/>
  <c r="A19" i="2"/>
  <c r="F18" i="2"/>
  <c r="C18" i="2"/>
  <c r="B18" i="2"/>
  <c r="A18" i="2"/>
  <c r="C17" i="2"/>
  <c r="B17" i="2"/>
  <c r="A17" i="2"/>
  <c r="F16" i="2"/>
  <c r="C16" i="2"/>
  <c r="B16" i="2"/>
  <c r="A16" i="2"/>
  <c r="F15" i="2"/>
  <c r="C15" i="2"/>
  <c r="B15" i="2"/>
  <c r="A15" i="2"/>
  <c r="F14" i="2"/>
  <c r="C14" i="2"/>
  <c r="B14" i="2"/>
  <c r="A14" i="2"/>
  <c r="F13" i="2"/>
  <c r="C13" i="2"/>
  <c r="B13" i="2"/>
  <c r="A13" i="2"/>
  <c r="F12" i="2"/>
  <c r="C12" i="2"/>
  <c r="B12" i="2"/>
  <c r="A12" i="2"/>
  <c r="F11" i="2"/>
  <c r="C11" i="2"/>
  <c r="B11" i="2"/>
  <c r="A11" i="2"/>
  <c r="F10" i="2"/>
  <c r="C10" i="2"/>
  <c r="B10" i="2"/>
  <c r="A10" i="2"/>
  <c r="F9" i="2"/>
  <c r="C9" i="2"/>
  <c r="B9" i="2"/>
  <c r="A9" i="2"/>
  <c r="F8" i="2"/>
  <c r="C8" i="2"/>
  <c r="B8" i="2"/>
  <c r="A8" i="2"/>
  <c r="F7" i="2"/>
  <c r="C7" i="2"/>
  <c r="B7" i="2"/>
  <c r="A7" i="2"/>
  <c r="C6" i="2"/>
  <c r="B6" i="2"/>
  <c r="A6" i="2"/>
  <c r="F5" i="2"/>
  <c r="C5" i="2"/>
  <c r="B5" i="2"/>
  <c r="A5" i="2"/>
  <c r="N29" i="21" l="1"/>
  <c r="N31" i="21" s="1"/>
  <c r="N15" i="21"/>
  <c r="AB29" i="5"/>
  <c r="N48" i="6"/>
  <c r="M29" i="14"/>
  <c r="M31" i="14" s="1"/>
  <c r="M32" i="14" s="1"/>
  <c r="T60" i="15"/>
  <c r="T39" i="15" s="1"/>
  <c r="J29" i="17"/>
  <c r="J31" i="17" s="1"/>
  <c r="J32" i="17" s="1"/>
  <c r="T7" i="19"/>
  <c r="R40" i="3"/>
  <c r="T32" i="10"/>
  <c r="J48" i="10"/>
  <c r="N48" i="17"/>
  <c r="C36" i="18"/>
  <c r="Y29" i="5"/>
  <c r="J37" i="19"/>
  <c r="J38" i="19" s="1"/>
  <c r="N57" i="6"/>
  <c r="L48" i="10"/>
  <c r="N59" i="12"/>
  <c r="K15" i="12"/>
  <c r="Z29" i="5"/>
  <c r="L48" i="13"/>
  <c r="K37" i="19"/>
  <c r="C36" i="21"/>
  <c r="M15" i="8"/>
  <c r="M15" i="9"/>
  <c r="M17" i="9" s="1"/>
  <c r="K15" i="10"/>
  <c r="K17" i="10" s="1"/>
  <c r="K21" i="10" s="1"/>
  <c r="K44" i="10" s="1"/>
  <c r="M48" i="10"/>
  <c r="I17" i="11"/>
  <c r="I22" i="11" s="1"/>
  <c r="L15" i="12"/>
  <c r="L34" i="12" s="1"/>
  <c r="L37" i="12" s="1"/>
  <c r="L38" i="12" s="1"/>
  <c r="S50" i="12"/>
  <c r="T36" i="12" s="1"/>
  <c r="S32" i="14"/>
  <c r="C36" i="19"/>
  <c r="M48" i="20"/>
  <c r="F17" i="2"/>
  <c r="J21" i="4"/>
  <c r="T32" i="6"/>
  <c r="I48" i="6"/>
  <c r="T7" i="7"/>
  <c r="J29" i="8"/>
  <c r="J31" i="8" s="1"/>
  <c r="J32" i="8" s="1"/>
  <c r="M15" i="12"/>
  <c r="M34" i="12" s="1"/>
  <c r="M37" i="12" s="1"/>
  <c r="J48" i="13"/>
  <c r="T32" i="14"/>
  <c r="I48" i="14"/>
  <c r="N35" i="15"/>
  <c r="N59" i="17"/>
  <c r="L48" i="19"/>
  <c r="K15" i="20"/>
  <c r="K17" i="20" s="1"/>
  <c r="K21" i="20" s="1"/>
  <c r="S50" i="20"/>
  <c r="T36" i="20" s="1"/>
  <c r="G35" i="3"/>
  <c r="J48" i="6"/>
  <c r="M48" i="7"/>
  <c r="I48" i="10"/>
  <c r="K48" i="13"/>
  <c r="S32" i="17"/>
  <c r="M48" i="17"/>
  <c r="N45" i="7"/>
  <c r="N48" i="7" s="1"/>
  <c r="N48" i="9"/>
  <c r="L48" i="6"/>
  <c r="K48" i="8"/>
  <c r="J48" i="9"/>
  <c r="K15" i="13"/>
  <c r="K17" i="13" s="1"/>
  <c r="L15" i="14"/>
  <c r="L34" i="14" s="1"/>
  <c r="L37" i="14" s="1"/>
  <c r="L38" i="14" s="1"/>
  <c r="N35" i="14"/>
  <c r="L48" i="14"/>
  <c r="N59" i="20"/>
  <c r="M48" i="11"/>
  <c r="N45" i="13"/>
  <c r="T7" i="18"/>
  <c r="S32" i="11"/>
  <c r="S50" i="14"/>
  <c r="T36" i="14" s="1"/>
  <c r="N59" i="15"/>
  <c r="N57" i="20"/>
  <c r="N32" i="18"/>
  <c r="M35" i="3" s="1"/>
  <c r="H35" i="3"/>
  <c r="K17" i="17"/>
  <c r="K34" i="17"/>
  <c r="K37" i="17" s="1"/>
  <c r="K38" i="17" s="1"/>
  <c r="L41" i="12"/>
  <c r="L42" i="12" s="1"/>
  <c r="T50" i="20"/>
  <c r="T37" i="20" s="1"/>
  <c r="J34" i="8"/>
  <c r="J37" i="8" s="1"/>
  <c r="J38" i="8" s="1"/>
  <c r="J17" i="8"/>
  <c r="K41" i="8"/>
  <c r="K42" i="8" s="1"/>
  <c r="N48" i="10"/>
  <c r="K34" i="16"/>
  <c r="K37" i="16" s="1"/>
  <c r="K38" i="16" s="1"/>
  <c r="K17" i="16"/>
  <c r="K34" i="8"/>
  <c r="K37" i="8" s="1"/>
  <c r="K38" i="8" s="1"/>
  <c r="K17" i="8"/>
  <c r="L45" i="4"/>
  <c r="L21" i="4"/>
  <c r="N29" i="15"/>
  <c r="N15" i="15"/>
  <c r="T32" i="13"/>
  <c r="J40" i="4"/>
  <c r="R41" i="3"/>
  <c r="E40" i="4"/>
  <c r="AB20" i="5"/>
  <c r="Z40" i="5"/>
  <c r="M48" i="6"/>
  <c r="L48" i="7"/>
  <c r="T60" i="9"/>
  <c r="T39" i="9" s="1"/>
  <c r="S50" i="10"/>
  <c r="T36" i="10" s="1"/>
  <c r="N57" i="10"/>
  <c r="M15" i="11"/>
  <c r="I15" i="12"/>
  <c r="T60" i="14"/>
  <c r="T39" i="14" s="1"/>
  <c r="L15" i="16"/>
  <c r="J48" i="16"/>
  <c r="I29" i="17"/>
  <c r="I31" i="17" s="1"/>
  <c r="I32" i="17" s="1"/>
  <c r="Z47" i="5"/>
  <c r="N48" i="20"/>
  <c r="L40" i="4"/>
  <c r="J29" i="6"/>
  <c r="J31" i="6" s="1"/>
  <c r="J32" i="6" s="1"/>
  <c r="K48" i="6"/>
  <c r="N59" i="6"/>
  <c r="T7" i="8"/>
  <c r="K29" i="8"/>
  <c r="K31" i="8" s="1"/>
  <c r="K32" i="8" s="1"/>
  <c r="N35" i="10"/>
  <c r="T60" i="10"/>
  <c r="T39" i="10" s="1"/>
  <c r="N12" i="12"/>
  <c r="N29" i="12" s="1"/>
  <c r="N31" i="12" s="1"/>
  <c r="I17" i="16"/>
  <c r="T60" i="19"/>
  <c r="T39" i="19" s="1"/>
  <c r="N35" i="20"/>
  <c r="T60" i="20"/>
  <c r="T39" i="20" s="1"/>
  <c r="T60" i="6"/>
  <c r="T39" i="6" s="1"/>
  <c r="S50" i="13"/>
  <c r="T36" i="13" s="1"/>
  <c r="T60" i="16"/>
  <c r="T39" i="16" s="1"/>
  <c r="M29" i="6"/>
  <c r="M31" i="6" s="1"/>
  <c r="M32" i="6" s="1"/>
  <c r="L29" i="11"/>
  <c r="L31" i="11" s="1"/>
  <c r="L32" i="11" s="1"/>
  <c r="T60" i="12"/>
  <c r="T39" i="12" s="1"/>
  <c r="L29" i="13"/>
  <c r="L31" i="13" s="1"/>
  <c r="L32" i="13" s="1"/>
  <c r="T45" i="14"/>
  <c r="T50" i="14" s="1"/>
  <c r="T37" i="14" s="1"/>
  <c r="S50" i="21"/>
  <c r="T36" i="21" s="1"/>
  <c r="S21" i="3"/>
  <c r="S40" i="3"/>
  <c r="L20" i="4"/>
  <c r="N35" i="8"/>
  <c r="K29" i="9"/>
  <c r="K31" i="9" s="1"/>
  <c r="K32" i="9" s="1"/>
  <c r="F6" i="2"/>
  <c r="Y19" i="5"/>
  <c r="Y20" i="5"/>
  <c r="I48" i="7"/>
  <c r="T60" i="8"/>
  <c r="T39" i="8" s="1"/>
  <c r="M48" i="9"/>
  <c r="N12" i="11"/>
  <c r="C36" i="12"/>
  <c r="L15" i="15"/>
  <c r="I48" i="15"/>
  <c r="N57" i="15"/>
  <c r="N12" i="16"/>
  <c r="N35" i="17"/>
  <c r="N48" i="18"/>
  <c r="M48" i="19"/>
  <c r="T32" i="20"/>
  <c r="C34" i="20"/>
  <c r="J34" i="7"/>
  <c r="J37" i="7" s="1"/>
  <c r="J38" i="7" s="1"/>
  <c r="C34" i="10"/>
  <c r="N59" i="11"/>
  <c r="K48" i="12"/>
  <c r="T60" i="13"/>
  <c r="T39" i="13" s="1"/>
  <c r="T32" i="17"/>
  <c r="K48" i="17"/>
  <c r="N57" i="19"/>
  <c r="N45" i="19"/>
  <c r="X30" i="3"/>
  <c r="R21" i="3"/>
  <c r="Y47" i="5"/>
  <c r="Z39" i="5"/>
  <c r="C34" i="6"/>
  <c r="S50" i="9"/>
  <c r="T36" i="9" s="1"/>
  <c r="K25" i="10"/>
  <c r="T7" i="11"/>
  <c r="T32" i="11"/>
  <c r="I48" i="11"/>
  <c r="T60" i="11"/>
  <c r="T39" i="11" s="1"/>
  <c r="J17" i="12"/>
  <c r="J22" i="12" s="1"/>
  <c r="L48" i="12"/>
  <c r="M41" i="14"/>
  <c r="M42" i="14" s="1"/>
  <c r="K48" i="14"/>
  <c r="K48" i="15"/>
  <c r="T7" i="16"/>
  <c r="K29" i="16"/>
  <c r="K31" i="16" s="1"/>
  <c r="K32" i="16" s="1"/>
  <c r="L48" i="17"/>
  <c r="I48" i="20"/>
  <c r="T32" i="21"/>
  <c r="N57" i="12"/>
  <c r="S30" i="3"/>
  <c r="T7" i="9"/>
  <c r="M15" i="10"/>
  <c r="M34" i="10" s="1"/>
  <c r="M37" i="10" s="1"/>
  <c r="M38" i="10" s="1"/>
  <c r="K34" i="10"/>
  <c r="K37" i="10" s="1"/>
  <c r="K38" i="10" s="1"/>
  <c r="M48" i="12"/>
  <c r="L48" i="16"/>
  <c r="J48" i="20"/>
  <c r="I48" i="9"/>
  <c r="L17" i="12"/>
  <c r="L22" i="12" s="1"/>
  <c r="M48" i="16"/>
  <c r="C34" i="17"/>
  <c r="J17" i="19"/>
  <c r="J22" i="19" s="1"/>
  <c r="N40" i="20"/>
  <c r="I37" i="3" s="1"/>
  <c r="M48" i="21"/>
  <c r="M17" i="12"/>
  <c r="M22" i="12" s="1"/>
  <c r="I37" i="16"/>
  <c r="I38" i="16" s="1"/>
  <c r="N15" i="18"/>
  <c r="L48" i="18"/>
  <c r="K17" i="19"/>
  <c r="N59" i="21"/>
  <c r="J37" i="12"/>
  <c r="G24" i="3"/>
  <c r="S41" i="3"/>
  <c r="K48" i="7"/>
  <c r="I48" i="8"/>
  <c r="K34" i="13"/>
  <c r="K37" i="13" s="1"/>
  <c r="K38" i="13" s="1"/>
  <c r="J48" i="14"/>
  <c r="N59" i="14"/>
  <c r="K41" i="16"/>
  <c r="I48" i="16"/>
  <c r="I48" i="17"/>
  <c r="N59" i="18"/>
  <c r="I48" i="21"/>
  <c r="T60" i="21"/>
  <c r="T39" i="21" s="1"/>
  <c r="X20" i="3"/>
  <c r="X21" i="3"/>
  <c r="X45" i="3"/>
  <c r="Y39" i="5"/>
  <c r="S31" i="3"/>
  <c r="E45" i="4"/>
  <c r="Z19" i="5"/>
  <c r="Z20" i="5"/>
  <c r="X41" i="3"/>
  <c r="X40" i="3"/>
  <c r="S45" i="3"/>
  <c r="J41" i="4"/>
  <c r="Y30" i="5"/>
  <c r="R45" i="3"/>
  <c r="R49" i="3"/>
  <c r="R48" i="3"/>
  <c r="R46" i="3"/>
  <c r="R31" i="3"/>
  <c r="R30" i="3"/>
  <c r="E20" i="4"/>
  <c r="E21" i="4"/>
  <c r="E48" i="4"/>
  <c r="E49" i="4"/>
  <c r="J46" i="4"/>
  <c r="S20" i="3"/>
  <c r="S49" i="3"/>
  <c r="L48" i="4"/>
  <c r="J45" i="4"/>
  <c r="L46" i="4"/>
  <c r="AB19" i="5"/>
  <c r="AB44" i="5"/>
  <c r="AB47" i="5"/>
  <c r="AB30" i="5"/>
  <c r="AB45" i="5"/>
  <c r="AB48" i="5"/>
  <c r="L17" i="10"/>
  <c r="L34" i="10"/>
  <c r="L37" i="10" s="1"/>
  <c r="L38" i="10" s="1"/>
  <c r="Z30" i="5"/>
  <c r="I22" i="7"/>
  <c r="I21" i="7"/>
  <c r="I29" i="10"/>
  <c r="I31" i="10" s="1"/>
  <c r="I32" i="10" s="1"/>
  <c r="I15" i="10"/>
  <c r="E31" i="4"/>
  <c r="Y40" i="5"/>
  <c r="N48" i="8"/>
  <c r="S46" i="3"/>
  <c r="S48" i="3"/>
  <c r="AB40" i="5"/>
  <c r="J17" i="6"/>
  <c r="J34" i="6"/>
  <c r="J37" i="6" s="1"/>
  <c r="S50" i="8"/>
  <c r="T36" i="8" s="1"/>
  <c r="T45" i="8"/>
  <c r="T50" i="8" s="1"/>
  <c r="T37" i="8" s="1"/>
  <c r="K21" i="6"/>
  <c r="K22" i="6"/>
  <c r="K34" i="6"/>
  <c r="K37" i="6" s="1"/>
  <c r="I21" i="8"/>
  <c r="I22" i="8"/>
  <c r="M17" i="6"/>
  <c r="M34" i="6"/>
  <c r="M37" i="6" s="1"/>
  <c r="M38" i="6" s="1"/>
  <c r="S32" i="12"/>
  <c r="J31" i="4"/>
  <c r="E46" i="4"/>
  <c r="I29" i="6"/>
  <c r="I31" i="6" s="1"/>
  <c r="I32" i="6" s="1"/>
  <c r="I15" i="6"/>
  <c r="J17" i="9"/>
  <c r="J34" i="9"/>
  <c r="J37" i="9" s="1"/>
  <c r="J30" i="4"/>
  <c r="L31" i="4"/>
  <c r="S32" i="6"/>
  <c r="L29" i="7"/>
  <c r="L31" i="7" s="1"/>
  <c r="L32" i="7" s="1"/>
  <c r="L15" i="7"/>
  <c r="K21" i="9"/>
  <c r="K22" i="9"/>
  <c r="N12" i="13"/>
  <c r="C36" i="13"/>
  <c r="K21" i="13"/>
  <c r="K22" i="13"/>
  <c r="X46" i="3"/>
  <c r="X48" i="3"/>
  <c r="X49" i="3"/>
  <c r="L30" i="4"/>
  <c r="E41" i="4"/>
  <c r="J49" i="4"/>
  <c r="M29" i="7"/>
  <c r="M31" i="7" s="1"/>
  <c r="M32" i="7" s="1"/>
  <c r="M15" i="7"/>
  <c r="M21" i="9"/>
  <c r="M22" i="9"/>
  <c r="J48" i="4"/>
  <c r="L49" i="4"/>
  <c r="Y45" i="5"/>
  <c r="Y44" i="5"/>
  <c r="S32" i="7"/>
  <c r="S50" i="7"/>
  <c r="T36" i="7" s="1"/>
  <c r="Z45" i="5"/>
  <c r="Z44" i="5"/>
  <c r="Z48" i="5"/>
  <c r="Y48" i="5"/>
  <c r="T46" i="6"/>
  <c r="T50" i="6" s="1"/>
  <c r="T37" i="6" s="1"/>
  <c r="S50" i="6"/>
  <c r="T36" i="6" s="1"/>
  <c r="T32" i="7"/>
  <c r="T50" i="7"/>
  <c r="T37" i="7" s="1"/>
  <c r="T60" i="7"/>
  <c r="T39" i="7" s="1"/>
  <c r="S32" i="9"/>
  <c r="T50" i="9"/>
  <c r="T37" i="9" s="1"/>
  <c r="T38" i="9" s="1"/>
  <c r="T40" i="9" s="1"/>
  <c r="E23" i="9" s="1"/>
  <c r="E24" i="9" s="1"/>
  <c r="I34" i="7"/>
  <c r="I37" i="7" s="1"/>
  <c r="I38" i="7" s="1"/>
  <c r="I15" i="9"/>
  <c r="I17" i="13"/>
  <c r="I34" i="13"/>
  <c r="I37" i="13" s="1"/>
  <c r="S50" i="11"/>
  <c r="T36" i="11" s="1"/>
  <c r="T45" i="11"/>
  <c r="T50" i="11" s="1"/>
  <c r="T37" i="11" s="1"/>
  <c r="N40" i="11"/>
  <c r="N57" i="11"/>
  <c r="L25" i="13"/>
  <c r="L44" i="13"/>
  <c r="L49" i="13" s="1"/>
  <c r="L15" i="6"/>
  <c r="N12" i="7"/>
  <c r="C36" i="7"/>
  <c r="N59" i="8"/>
  <c r="L15" i="9"/>
  <c r="N48" i="13"/>
  <c r="N59" i="13"/>
  <c r="J21" i="7"/>
  <c r="N57" i="8"/>
  <c r="K41" i="10"/>
  <c r="T32" i="12"/>
  <c r="K41" i="13"/>
  <c r="N57" i="14"/>
  <c r="N40" i="14"/>
  <c r="N59" i="9"/>
  <c r="K22" i="10"/>
  <c r="L41" i="10"/>
  <c r="L42" i="10" s="1"/>
  <c r="L22" i="11"/>
  <c r="N57" i="13"/>
  <c r="K34" i="9"/>
  <c r="K37" i="9" s="1"/>
  <c r="N57" i="9"/>
  <c r="L44" i="11"/>
  <c r="L49" i="11" s="1"/>
  <c r="L25" i="11"/>
  <c r="N12" i="6"/>
  <c r="L15" i="8"/>
  <c r="N12" i="9"/>
  <c r="S32" i="10"/>
  <c r="M17" i="11"/>
  <c r="M34" i="11"/>
  <c r="M37" i="11" s="1"/>
  <c r="M38" i="11" s="1"/>
  <c r="N57" i="7"/>
  <c r="I34" i="8"/>
  <c r="I37" i="8" s="1"/>
  <c r="I38" i="8" s="1"/>
  <c r="M34" i="9"/>
  <c r="M37" i="9" s="1"/>
  <c r="M38" i="9" s="1"/>
  <c r="K48" i="10"/>
  <c r="K49" i="10" s="1"/>
  <c r="J38" i="12"/>
  <c r="J41" i="12"/>
  <c r="J42" i="12" s="1"/>
  <c r="K29" i="11"/>
  <c r="K31" i="11" s="1"/>
  <c r="K32" i="11" s="1"/>
  <c r="K15" i="11"/>
  <c r="N48" i="11"/>
  <c r="N15" i="12"/>
  <c r="L22" i="13"/>
  <c r="L17" i="15"/>
  <c r="L34" i="15"/>
  <c r="L37" i="15" s="1"/>
  <c r="K15" i="7"/>
  <c r="I41" i="11"/>
  <c r="I42" i="11" s="1"/>
  <c r="M38" i="12"/>
  <c r="M41" i="12"/>
  <c r="M42" i="12" s="1"/>
  <c r="N12" i="8"/>
  <c r="K48" i="9"/>
  <c r="C36" i="10"/>
  <c r="N12" i="10"/>
  <c r="N59" i="10"/>
  <c r="J15" i="10"/>
  <c r="T50" i="10"/>
  <c r="T37" i="10" s="1"/>
  <c r="T38" i="10" s="1"/>
  <c r="J21" i="12"/>
  <c r="L41" i="14"/>
  <c r="L42" i="14" s="1"/>
  <c r="K42" i="16"/>
  <c r="D65" i="16"/>
  <c r="D64" i="16"/>
  <c r="U28" i="3" s="1"/>
  <c r="K22" i="19"/>
  <c r="K21" i="19"/>
  <c r="I15" i="14"/>
  <c r="N17" i="15"/>
  <c r="N34" i="15"/>
  <c r="N37" i="15" s="1"/>
  <c r="L21" i="12"/>
  <c r="I48" i="12"/>
  <c r="T50" i="13"/>
  <c r="T37" i="13" s="1"/>
  <c r="T38" i="13" s="1"/>
  <c r="T40" i="13" s="1"/>
  <c r="E23" i="13" s="1"/>
  <c r="E24" i="13" s="1"/>
  <c r="C36" i="14"/>
  <c r="N12" i="14"/>
  <c r="J15" i="14"/>
  <c r="I29" i="15"/>
  <c r="I31" i="15" s="1"/>
  <c r="I32" i="15" s="1"/>
  <c r="I15" i="15"/>
  <c r="S50" i="15"/>
  <c r="T36" i="15" s="1"/>
  <c r="T46" i="15"/>
  <c r="T50" i="15" s="1"/>
  <c r="T37" i="15" s="1"/>
  <c r="N35" i="16"/>
  <c r="N45" i="16"/>
  <c r="N48" i="16" s="1"/>
  <c r="N40" i="18"/>
  <c r="N57" i="18"/>
  <c r="N29" i="19"/>
  <c r="N31" i="19" s="1"/>
  <c r="N15" i="19"/>
  <c r="I21" i="11"/>
  <c r="L34" i="11"/>
  <c r="L37" i="11" s="1"/>
  <c r="J29" i="13"/>
  <c r="J31" i="13" s="1"/>
  <c r="J32" i="13" s="1"/>
  <c r="J15" i="13"/>
  <c r="M15" i="13"/>
  <c r="K15" i="14"/>
  <c r="J29" i="15"/>
  <c r="J31" i="15" s="1"/>
  <c r="J32" i="15" s="1"/>
  <c r="J15" i="15"/>
  <c r="N31" i="15"/>
  <c r="K21" i="17"/>
  <c r="K22" i="17"/>
  <c r="T50" i="17"/>
  <c r="T37" i="17" s="1"/>
  <c r="L48" i="15"/>
  <c r="T32" i="15"/>
  <c r="N48" i="15"/>
  <c r="N17" i="18"/>
  <c r="N21" i="18" s="1"/>
  <c r="N44" i="18" s="1"/>
  <c r="N49" i="18" s="1"/>
  <c r="N34" i="18"/>
  <c r="N37" i="18" s="1"/>
  <c r="T46" i="12"/>
  <c r="T50" i="12" s="1"/>
  <c r="T37" i="12" s="1"/>
  <c r="T38" i="12" s="1"/>
  <c r="T40" i="12" s="1"/>
  <c r="E23" i="12" s="1"/>
  <c r="E24" i="12" s="1"/>
  <c r="L34" i="13"/>
  <c r="L37" i="13" s="1"/>
  <c r="M29" i="15"/>
  <c r="M31" i="15" s="1"/>
  <c r="M32" i="15" s="1"/>
  <c r="M15" i="15"/>
  <c r="N45" i="12"/>
  <c r="N48" i="12" s="1"/>
  <c r="I48" i="13"/>
  <c r="L17" i="14"/>
  <c r="C34" i="14"/>
  <c r="L34" i="18"/>
  <c r="L37" i="18" s="1"/>
  <c r="L17" i="18"/>
  <c r="M17" i="14"/>
  <c r="S32" i="15"/>
  <c r="N29" i="16"/>
  <c r="N31" i="16" s="1"/>
  <c r="N15" i="16"/>
  <c r="J15" i="11"/>
  <c r="T7" i="13"/>
  <c r="N40" i="13"/>
  <c r="S32" i="16"/>
  <c r="T32" i="16"/>
  <c r="K15" i="15"/>
  <c r="C36" i="17"/>
  <c r="N12" i="17"/>
  <c r="J21" i="17"/>
  <c r="J22" i="17"/>
  <c r="T32" i="18"/>
  <c r="T38" i="20"/>
  <c r="T40" i="20" s="1"/>
  <c r="E23" i="20" s="1"/>
  <c r="E24" i="20" s="1"/>
  <c r="S32" i="21"/>
  <c r="N57" i="17"/>
  <c r="K48" i="16"/>
  <c r="M17" i="18"/>
  <c r="M34" i="18"/>
  <c r="M37" i="18" s="1"/>
  <c r="M38" i="18" s="1"/>
  <c r="S32" i="19"/>
  <c r="I17" i="20"/>
  <c r="I34" i="20"/>
  <c r="I37" i="20" s="1"/>
  <c r="I38" i="20" s="1"/>
  <c r="L17" i="21"/>
  <c r="L34" i="21"/>
  <c r="L37" i="21" s="1"/>
  <c r="N48" i="21"/>
  <c r="L29" i="17"/>
  <c r="L31" i="17" s="1"/>
  <c r="L32" i="17" s="1"/>
  <c r="L15" i="17"/>
  <c r="T60" i="17"/>
  <c r="T39" i="17" s="1"/>
  <c r="T32" i="19"/>
  <c r="N48" i="19"/>
  <c r="C36" i="20"/>
  <c r="N12" i="20"/>
  <c r="J17" i="20"/>
  <c r="J34" i="20"/>
  <c r="J37" i="20" s="1"/>
  <c r="J38" i="20" s="1"/>
  <c r="M17" i="21"/>
  <c r="M34" i="21"/>
  <c r="M37" i="21" s="1"/>
  <c r="N57" i="16"/>
  <c r="N59" i="16"/>
  <c r="M29" i="17"/>
  <c r="M31" i="17" s="1"/>
  <c r="M32" i="17" s="1"/>
  <c r="M15" i="17"/>
  <c r="J29" i="18"/>
  <c r="J31" i="18" s="1"/>
  <c r="J32" i="18" s="1"/>
  <c r="J15" i="18"/>
  <c r="S50" i="19"/>
  <c r="T36" i="19" s="1"/>
  <c r="T45" i="19"/>
  <c r="T50" i="19" s="1"/>
  <c r="T37" i="19" s="1"/>
  <c r="N17" i="21"/>
  <c r="N21" i="21" s="1"/>
  <c r="N44" i="21" s="1"/>
  <c r="N34" i="21"/>
  <c r="T7" i="15"/>
  <c r="J15" i="16"/>
  <c r="K29" i="18"/>
  <c r="K31" i="18" s="1"/>
  <c r="K32" i="18" s="1"/>
  <c r="K15" i="18"/>
  <c r="J21" i="19"/>
  <c r="J41" i="19"/>
  <c r="J42" i="19" s="1"/>
  <c r="J29" i="21"/>
  <c r="J31" i="21" s="1"/>
  <c r="J32" i="21" s="1"/>
  <c r="J15" i="21"/>
  <c r="S50" i="16"/>
  <c r="T36" i="16" s="1"/>
  <c r="K29" i="21"/>
  <c r="K31" i="21" s="1"/>
  <c r="K32" i="21" s="1"/>
  <c r="K15" i="21"/>
  <c r="T45" i="16"/>
  <c r="T50" i="16" s="1"/>
  <c r="T37" i="16" s="1"/>
  <c r="M15" i="16"/>
  <c r="S50" i="17"/>
  <c r="T36" i="17" s="1"/>
  <c r="T38" i="17" s="1"/>
  <c r="S50" i="18"/>
  <c r="T36" i="18" s="1"/>
  <c r="T38" i="18" s="1"/>
  <c r="T40" i="18" s="1"/>
  <c r="E23" i="18" s="1"/>
  <c r="E24" i="18" s="1"/>
  <c r="S32" i="20"/>
  <c r="N40" i="21"/>
  <c r="N57" i="21"/>
  <c r="I17" i="17"/>
  <c r="I34" i="17"/>
  <c r="I37" i="17" s="1"/>
  <c r="I38" i="17" s="1"/>
  <c r="J34" i="17"/>
  <c r="J37" i="17" s="1"/>
  <c r="J38" i="17" s="1"/>
  <c r="I41" i="17"/>
  <c r="I42" i="17" s="1"/>
  <c r="S32" i="18"/>
  <c r="T50" i="18"/>
  <c r="T37" i="18" s="1"/>
  <c r="T60" i="18"/>
  <c r="T39" i="18" s="1"/>
  <c r="N35" i="21"/>
  <c r="N59" i="19"/>
  <c r="L15" i="20"/>
  <c r="I15" i="19"/>
  <c r="M15" i="20"/>
  <c r="T45" i="21"/>
  <c r="T50" i="21" s="1"/>
  <c r="T37" i="21" s="1"/>
  <c r="T38" i="21" s="1"/>
  <c r="T40" i="21" s="1"/>
  <c r="E23" i="21" s="1"/>
  <c r="E24" i="21" s="1"/>
  <c r="L15" i="19"/>
  <c r="I15" i="18"/>
  <c r="M15" i="19"/>
  <c r="I15" i="21"/>
  <c r="T38" i="14" l="1"/>
  <c r="T40" i="14" s="1"/>
  <c r="E23" i="14" s="1"/>
  <c r="E24" i="14" s="1"/>
  <c r="M17" i="8"/>
  <c r="M34" i="8"/>
  <c r="M37" i="8" s="1"/>
  <c r="J41" i="7"/>
  <c r="J42" i="7" s="1"/>
  <c r="K38" i="19"/>
  <c r="K41" i="19"/>
  <c r="N49" i="21"/>
  <c r="K34" i="12"/>
  <c r="K37" i="12" s="1"/>
  <c r="K17" i="12"/>
  <c r="K22" i="20"/>
  <c r="T38" i="8"/>
  <c r="T40" i="8" s="1"/>
  <c r="E23" i="8" s="1"/>
  <c r="E24" i="8" s="1"/>
  <c r="T38" i="16"/>
  <c r="T40" i="16" s="1"/>
  <c r="E23" i="16" s="1"/>
  <c r="E24" i="16" s="1"/>
  <c r="M21" i="12"/>
  <c r="D64" i="8"/>
  <c r="U15" i="3" s="1"/>
  <c r="D65" i="8"/>
  <c r="I41" i="16"/>
  <c r="I42" i="16" s="1"/>
  <c r="M41" i="10"/>
  <c r="M42" i="10" s="1"/>
  <c r="K41" i="17"/>
  <c r="K34" i="20"/>
  <c r="K37" i="20" s="1"/>
  <c r="N32" i="21"/>
  <c r="M38" i="3" s="1"/>
  <c r="H38" i="3"/>
  <c r="L17" i="16"/>
  <c r="L34" i="16"/>
  <c r="L37" i="16" s="1"/>
  <c r="M41" i="6"/>
  <c r="M42" i="6" s="1"/>
  <c r="J21" i="8"/>
  <c r="J22" i="8"/>
  <c r="N22" i="21"/>
  <c r="I34" i="12"/>
  <c r="I37" i="12" s="1"/>
  <c r="I17" i="12"/>
  <c r="M41" i="18"/>
  <c r="M42" i="18" s="1"/>
  <c r="D62" i="16"/>
  <c r="T38" i="15"/>
  <c r="T40" i="15" s="1"/>
  <c r="E23" i="15" s="1"/>
  <c r="E24" i="15" s="1"/>
  <c r="E30" i="15" s="1"/>
  <c r="D62" i="17"/>
  <c r="T38" i="7"/>
  <c r="T40" i="7" s="1"/>
  <c r="E23" i="7" s="1"/>
  <c r="E24" i="7" s="1"/>
  <c r="T40" i="10"/>
  <c r="E23" i="10" s="1"/>
  <c r="E24" i="10" s="1"/>
  <c r="D17" i="3" s="1"/>
  <c r="J41" i="8"/>
  <c r="K22" i="8"/>
  <c r="K21" i="8"/>
  <c r="M17" i="10"/>
  <c r="M22" i="10" s="1"/>
  <c r="J41" i="20"/>
  <c r="J42" i="20" s="1"/>
  <c r="N29" i="11"/>
  <c r="N31" i="11" s="1"/>
  <c r="N15" i="11"/>
  <c r="I22" i="16"/>
  <c r="I21" i="16"/>
  <c r="K22" i="16"/>
  <c r="K21" i="16"/>
  <c r="E30" i="9"/>
  <c r="F15" i="5"/>
  <c r="D8" i="2"/>
  <c r="D16" i="3"/>
  <c r="E30" i="12"/>
  <c r="F23" i="5"/>
  <c r="D11" i="2"/>
  <c r="D24" i="3"/>
  <c r="E30" i="10"/>
  <c r="F16" i="5"/>
  <c r="E30" i="13"/>
  <c r="D12" i="2"/>
  <c r="F24" i="5"/>
  <c r="D25" i="3"/>
  <c r="I17" i="9"/>
  <c r="I34" i="9"/>
  <c r="I37" i="9" s="1"/>
  <c r="K44" i="6"/>
  <c r="K49" i="6" s="1"/>
  <c r="K25" i="6"/>
  <c r="N29" i="9"/>
  <c r="N31" i="9" s="1"/>
  <c r="N15" i="9"/>
  <c r="K50" i="10"/>
  <c r="K52" i="10"/>
  <c r="K25" i="13"/>
  <c r="K44" i="13"/>
  <c r="K49" i="13" s="1"/>
  <c r="L21" i="10"/>
  <c r="L22" i="10"/>
  <c r="M17" i="16"/>
  <c r="M34" i="16"/>
  <c r="M37" i="16" s="1"/>
  <c r="N37" i="21"/>
  <c r="N41" i="21" s="1"/>
  <c r="M22" i="14"/>
  <c r="M21" i="14"/>
  <c r="N32" i="15"/>
  <c r="M27" i="3" s="1"/>
  <c r="H27" i="3"/>
  <c r="J17" i="14"/>
  <c r="J34" i="14"/>
  <c r="J37" i="14" s="1"/>
  <c r="L34" i="8"/>
  <c r="L37" i="8" s="1"/>
  <c r="L17" i="8"/>
  <c r="M21" i="10"/>
  <c r="T38" i="11"/>
  <c r="T40" i="11" s="1"/>
  <c r="E23" i="11" s="1"/>
  <c r="E24" i="11" s="1"/>
  <c r="M34" i="17"/>
  <c r="M37" i="17" s="1"/>
  <c r="M17" i="17"/>
  <c r="D14" i="2"/>
  <c r="I25" i="11"/>
  <c r="I44" i="11"/>
  <c r="I49" i="11" s="1"/>
  <c r="M44" i="9"/>
  <c r="M49" i="9" s="1"/>
  <c r="M25" i="9"/>
  <c r="K25" i="17"/>
  <c r="K44" i="17"/>
  <c r="K49" i="17" s="1"/>
  <c r="I17" i="21"/>
  <c r="I34" i="21"/>
  <c r="I37" i="21" s="1"/>
  <c r="E46" i="21"/>
  <c r="H38" i="4" s="1"/>
  <c r="N50" i="21"/>
  <c r="P38" i="3" s="1"/>
  <c r="N52" i="21"/>
  <c r="E47" i="21"/>
  <c r="I38" i="4" s="1"/>
  <c r="K38" i="3"/>
  <c r="M38" i="21"/>
  <c r="M41" i="21"/>
  <c r="M42" i="21" s="1"/>
  <c r="L22" i="18"/>
  <c r="L21" i="18"/>
  <c r="E45" i="18"/>
  <c r="G35" i="4" s="1"/>
  <c r="N38" i="18"/>
  <c r="O35" i="3" s="1"/>
  <c r="C40" i="18"/>
  <c r="E56" i="18"/>
  <c r="R35" i="4" s="1"/>
  <c r="J35" i="3"/>
  <c r="J17" i="15"/>
  <c r="J34" i="15"/>
  <c r="J37" i="15" s="1"/>
  <c r="N17" i="19"/>
  <c r="N34" i="19"/>
  <c r="N37" i="19" s="1"/>
  <c r="N29" i="14"/>
  <c r="N31" i="14" s="1"/>
  <c r="N15" i="14"/>
  <c r="K17" i="7"/>
  <c r="K34" i="7"/>
  <c r="K37" i="7" s="1"/>
  <c r="N29" i="6"/>
  <c r="N31" i="6" s="1"/>
  <c r="N15" i="6"/>
  <c r="M41" i="11"/>
  <c r="M42" i="11" s="1"/>
  <c r="M41" i="9"/>
  <c r="M42" i="9" s="1"/>
  <c r="M17" i="7"/>
  <c r="M34" i="7"/>
  <c r="M37" i="7" s="1"/>
  <c r="N29" i="13"/>
  <c r="N31" i="13" s="1"/>
  <c r="N15" i="13"/>
  <c r="I41" i="8"/>
  <c r="N29" i="8"/>
  <c r="N31" i="8" s="1"/>
  <c r="N15" i="8"/>
  <c r="J34" i="16"/>
  <c r="J37" i="16" s="1"/>
  <c r="J17" i="16"/>
  <c r="E30" i="16"/>
  <c r="F27" i="5"/>
  <c r="D28" i="3"/>
  <c r="D15" i="2"/>
  <c r="M21" i="21"/>
  <c r="M22" i="21"/>
  <c r="L38" i="21"/>
  <c r="L41" i="21"/>
  <c r="L42" i="21" s="1"/>
  <c r="L38" i="18"/>
  <c r="L41" i="18"/>
  <c r="L42" i="18" s="1"/>
  <c r="E46" i="18"/>
  <c r="H35" i="4" s="1"/>
  <c r="N50" i="18"/>
  <c r="P35" i="3" s="1"/>
  <c r="N52" i="18"/>
  <c r="E47" i="18"/>
  <c r="I35" i="4" s="1"/>
  <c r="K35" i="3"/>
  <c r="N32" i="19"/>
  <c r="M36" i="3" s="1"/>
  <c r="H36" i="3"/>
  <c r="J44" i="12"/>
  <c r="J49" i="12" s="1"/>
  <c r="J25" i="12"/>
  <c r="L38" i="15"/>
  <c r="L41" i="15"/>
  <c r="L42" i="15" s="1"/>
  <c r="I26" i="3"/>
  <c r="L17" i="9"/>
  <c r="L34" i="9"/>
  <c r="L37" i="9" s="1"/>
  <c r="M17" i="15"/>
  <c r="M34" i="15"/>
  <c r="M37" i="15" s="1"/>
  <c r="M21" i="11"/>
  <c r="M22" i="11"/>
  <c r="I34" i="15"/>
  <c r="I37" i="15" s="1"/>
  <c r="I17" i="15"/>
  <c r="T40" i="17"/>
  <c r="E23" i="17" s="1"/>
  <c r="E24" i="17" s="1"/>
  <c r="L38" i="13"/>
  <c r="L41" i="13"/>
  <c r="L42" i="13" s="1"/>
  <c r="E30" i="20"/>
  <c r="F36" i="5"/>
  <c r="D37" i="3"/>
  <c r="D19" i="2"/>
  <c r="C40" i="15"/>
  <c r="E45" i="15"/>
  <c r="G27" i="4" s="1"/>
  <c r="N38" i="15"/>
  <c r="O27" i="3" s="1"/>
  <c r="E56" i="15"/>
  <c r="R27" i="4" s="1"/>
  <c r="J27" i="3"/>
  <c r="L21" i="15"/>
  <c r="L22" i="15"/>
  <c r="E30" i="14"/>
  <c r="F25" i="5"/>
  <c r="D13" i="2"/>
  <c r="D26" i="3"/>
  <c r="K44" i="9"/>
  <c r="K49" i="9" s="1"/>
  <c r="K25" i="9"/>
  <c r="M21" i="6"/>
  <c r="M22" i="6"/>
  <c r="I17" i="10"/>
  <c r="I34" i="10"/>
  <c r="I37" i="10" s="1"/>
  <c r="I25" i="3"/>
  <c r="K17" i="14"/>
  <c r="K34" i="14"/>
  <c r="K37" i="14" s="1"/>
  <c r="N41" i="18"/>
  <c r="I35" i="3"/>
  <c r="N21" i="15"/>
  <c r="N44" i="15" s="1"/>
  <c r="N49" i="15" s="1"/>
  <c r="N22" i="15"/>
  <c r="J17" i="10"/>
  <c r="J34" i="10"/>
  <c r="J37" i="10" s="1"/>
  <c r="L50" i="11"/>
  <c r="L52" i="11"/>
  <c r="D65" i="13"/>
  <c r="K42" i="13"/>
  <c r="D64" i="13"/>
  <c r="U25" i="3" s="1"/>
  <c r="J38" i="9"/>
  <c r="J41" i="9"/>
  <c r="J42" i="9" s="1"/>
  <c r="N32" i="16"/>
  <c r="M28" i="3" s="1"/>
  <c r="H28" i="3"/>
  <c r="N22" i="18"/>
  <c r="I21" i="20"/>
  <c r="I22" i="20"/>
  <c r="M17" i="13"/>
  <c r="M34" i="13"/>
  <c r="M37" i="13" s="1"/>
  <c r="I17" i="14"/>
  <c r="I34" i="14"/>
  <c r="I37" i="14" s="1"/>
  <c r="N17" i="12"/>
  <c r="N34" i="12"/>
  <c r="N37" i="12" s="1"/>
  <c r="N29" i="7"/>
  <c r="N31" i="7" s="1"/>
  <c r="N15" i="7"/>
  <c r="I38" i="13"/>
  <c r="I41" i="13"/>
  <c r="I42" i="13" s="1"/>
  <c r="J21" i="9"/>
  <c r="J22" i="9"/>
  <c r="L38" i="11"/>
  <c r="L41" i="11"/>
  <c r="L42" i="11" s="1"/>
  <c r="I18" i="3"/>
  <c r="E30" i="21"/>
  <c r="F37" i="5"/>
  <c r="D38" i="3"/>
  <c r="D20" i="2"/>
  <c r="L17" i="7"/>
  <c r="L34" i="7"/>
  <c r="L37" i="7" s="1"/>
  <c r="M17" i="19"/>
  <c r="M34" i="19"/>
  <c r="M37" i="19" s="1"/>
  <c r="I17" i="18"/>
  <c r="I34" i="18"/>
  <c r="I37" i="18" s="1"/>
  <c r="J17" i="21"/>
  <c r="J34" i="21"/>
  <c r="J37" i="21" s="1"/>
  <c r="L17" i="19"/>
  <c r="L34" i="19"/>
  <c r="L37" i="19" s="1"/>
  <c r="T38" i="19"/>
  <c r="T40" i="19" s="1"/>
  <c r="E23" i="19" s="1"/>
  <c r="E24" i="19" s="1"/>
  <c r="N29" i="20"/>
  <c r="N31" i="20" s="1"/>
  <c r="N15" i="20"/>
  <c r="J41" i="17"/>
  <c r="M34" i="20"/>
  <c r="M37" i="20" s="1"/>
  <c r="M17" i="20"/>
  <c r="L22" i="14"/>
  <c r="L21" i="14"/>
  <c r="N41" i="15"/>
  <c r="J34" i="13"/>
  <c r="J37" i="13" s="1"/>
  <c r="J17" i="13"/>
  <c r="L25" i="12"/>
  <c r="L44" i="12"/>
  <c r="L49" i="12" s="1"/>
  <c r="N15" i="10"/>
  <c r="N29" i="10"/>
  <c r="N31" i="10" s="1"/>
  <c r="N32" i="12"/>
  <c r="M24" i="3" s="1"/>
  <c r="H24" i="3"/>
  <c r="K38" i="9"/>
  <c r="K41" i="9"/>
  <c r="D64" i="10"/>
  <c r="U17" i="3" s="1"/>
  <c r="K42" i="10"/>
  <c r="D65" i="10"/>
  <c r="L17" i="6"/>
  <c r="L34" i="6"/>
  <c r="L37" i="6" s="1"/>
  <c r="I22" i="13"/>
  <c r="I21" i="13"/>
  <c r="I41" i="7"/>
  <c r="I42" i="7" s="1"/>
  <c r="I25" i="8"/>
  <c r="I44" i="8"/>
  <c r="I49" i="8" s="1"/>
  <c r="J38" i="6"/>
  <c r="J41" i="6"/>
  <c r="J42" i="6" s="1"/>
  <c r="I25" i="7"/>
  <c r="I44" i="7"/>
  <c r="I49" i="7" s="1"/>
  <c r="K17" i="15"/>
  <c r="K34" i="15"/>
  <c r="K37" i="15" s="1"/>
  <c r="L34" i="17"/>
  <c r="L37" i="17" s="1"/>
  <c r="L17" i="17"/>
  <c r="L21" i="21"/>
  <c r="L22" i="21"/>
  <c r="I41" i="20"/>
  <c r="I42" i="20" s="1"/>
  <c r="I34" i="19"/>
  <c r="I37" i="19" s="1"/>
  <c r="I17" i="19"/>
  <c r="I38" i="3"/>
  <c r="K17" i="21"/>
  <c r="K34" i="21"/>
  <c r="K37" i="21" s="1"/>
  <c r="J25" i="19"/>
  <c r="J44" i="19"/>
  <c r="J49" i="19" s="1"/>
  <c r="J17" i="18"/>
  <c r="J34" i="18"/>
  <c r="J37" i="18" s="1"/>
  <c r="J44" i="17"/>
  <c r="J49" i="17" s="1"/>
  <c r="J25" i="17"/>
  <c r="J17" i="11"/>
  <c r="J34" i="11"/>
  <c r="J37" i="11" s="1"/>
  <c r="K25" i="19"/>
  <c r="K44" i="19"/>
  <c r="K49" i="19" s="1"/>
  <c r="L50" i="13"/>
  <c r="L52" i="13"/>
  <c r="T38" i="6"/>
  <c r="T40" i="6" s="1"/>
  <c r="E23" i="6" s="1"/>
  <c r="E24" i="6" s="1"/>
  <c r="I17" i="6"/>
  <c r="I34" i="6"/>
  <c r="I37" i="6" s="1"/>
  <c r="K38" i="6"/>
  <c r="K41" i="6"/>
  <c r="J21" i="6"/>
  <c r="J22" i="6"/>
  <c r="N17" i="16"/>
  <c r="N34" i="16"/>
  <c r="N37" i="16" s="1"/>
  <c r="E30" i="18"/>
  <c r="F34" i="5"/>
  <c r="D35" i="3"/>
  <c r="D17" i="2"/>
  <c r="K44" i="20"/>
  <c r="K49" i="20" s="1"/>
  <c r="K25" i="20"/>
  <c r="J21" i="20"/>
  <c r="J22" i="20"/>
  <c r="I21" i="17"/>
  <c r="I22" i="17"/>
  <c r="L17" i="20"/>
  <c r="L34" i="20"/>
  <c r="L37" i="20" s="1"/>
  <c r="K17" i="18"/>
  <c r="K34" i="18"/>
  <c r="K37" i="18" s="1"/>
  <c r="M21" i="18"/>
  <c r="M22" i="18"/>
  <c r="N29" i="17"/>
  <c r="N31" i="17" s="1"/>
  <c r="N15" i="17"/>
  <c r="M25" i="12"/>
  <c r="M44" i="12"/>
  <c r="M49" i="12" s="1"/>
  <c r="K17" i="11"/>
  <c r="K34" i="11"/>
  <c r="K37" i="11" s="1"/>
  <c r="J25" i="7"/>
  <c r="J44" i="7"/>
  <c r="J49" i="7" s="1"/>
  <c r="F14" i="5" l="1"/>
  <c r="D15" i="3"/>
  <c r="E30" i="8"/>
  <c r="D7" i="2"/>
  <c r="K22" i="12"/>
  <c r="K21" i="12"/>
  <c r="K38" i="12"/>
  <c r="K41" i="12"/>
  <c r="K38" i="20"/>
  <c r="K41" i="20"/>
  <c r="D64" i="17"/>
  <c r="U34" i="3" s="1"/>
  <c r="K42" i="17"/>
  <c r="D65" i="17"/>
  <c r="D65" i="19"/>
  <c r="D61" i="19"/>
  <c r="T36" i="3" s="1"/>
  <c r="D64" i="19"/>
  <c r="U36" i="3" s="1"/>
  <c r="K42" i="19"/>
  <c r="M38" i="8"/>
  <c r="M41" i="8"/>
  <c r="M42" i="8" s="1"/>
  <c r="M21" i="8"/>
  <c r="M22" i="8"/>
  <c r="I25" i="16"/>
  <c r="I44" i="16"/>
  <c r="I49" i="16" s="1"/>
  <c r="N17" i="11"/>
  <c r="N34" i="11"/>
  <c r="N37" i="11" s="1"/>
  <c r="N32" i="11"/>
  <c r="M18" i="3" s="1"/>
  <c r="H18" i="3"/>
  <c r="I21" i="12"/>
  <c r="I22" i="12"/>
  <c r="I38" i="12"/>
  <c r="I41" i="12"/>
  <c r="K25" i="8"/>
  <c r="K44" i="8"/>
  <c r="K49" i="8" s="1"/>
  <c r="J25" i="8"/>
  <c r="J44" i="8"/>
  <c r="J49" i="8" s="1"/>
  <c r="J42" i="8"/>
  <c r="D61" i="8"/>
  <c r="T15" i="3" s="1"/>
  <c r="D27" i="3"/>
  <c r="F26" i="5"/>
  <c r="D9" i="2"/>
  <c r="K44" i="16"/>
  <c r="K49" i="16" s="1"/>
  <c r="K50" i="16" s="1"/>
  <c r="K25" i="16"/>
  <c r="L38" i="16"/>
  <c r="L41" i="16"/>
  <c r="L42" i="16" s="1"/>
  <c r="L22" i="16"/>
  <c r="L21" i="16"/>
  <c r="M21" i="7"/>
  <c r="M22" i="7"/>
  <c r="L44" i="18"/>
  <c r="L49" i="18" s="1"/>
  <c r="L25" i="18"/>
  <c r="E37" i="15"/>
  <c r="O26" i="5" s="1"/>
  <c r="E35" i="15"/>
  <c r="K26" i="5" s="1"/>
  <c r="D37" i="15"/>
  <c r="N26" i="5" s="1"/>
  <c r="D35" i="15"/>
  <c r="J26" i="5" s="1"/>
  <c r="C37" i="15"/>
  <c r="M26" i="5" s="1"/>
  <c r="C35" i="15"/>
  <c r="I26" i="5" s="1"/>
  <c r="C39" i="15"/>
  <c r="Q26" i="5" s="1"/>
  <c r="E39" i="15"/>
  <c r="S26" i="5" s="1"/>
  <c r="D39" i="15"/>
  <c r="R26" i="5" s="1"/>
  <c r="E27" i="3"/>
  <c r="G26" i="5"/>
  <c r="E14" i="2"/>
  <c r="N34" i="9"/>
  <c r="N37" i="9" s="1"/>
  <c r="N17" i="9"/>
  <c r="I38" i="6"/>
  <c r="I41" i="6"/>
  <c r="I42" i="6" s="1"/>
  <c r="M38" i="19"/>
  <c r="M41" i="19"/>
  <c r="M42" i="19" s="1"/>
  <c r="J38" i="10"/>
  <c r="J41" i="10"/>
  <c r="M22" i="17"/>
  <c r="M21" i="17"/>
  <c r="L22" i="17"/>
  <c r="L21" i="17"/>
  <c r="N34" i="10"/>
  <c r="N37" i="10" s="1"/>
  <c r="N17" i="10"/>
  <c r="M44" i="11"/>
  <c r="M49" i="11" s="1"/>
  <c r="M25" i="11"/>
  <c r="N34" i="6"/>
  <c r="N37" i="6" s="1"/>
  <c r="N17" i="6"/>
  <c r="E56" i="19"/>
  <c r="R36" i="4" s="1"/>
  <c r="E45" i="19"/>
  <c r="G36" i="4" s="1"/>
  <c r="N38" i="19"/>
  <c r="O36" i="3" s="1"/>
  <c r="C40" i="19"/>
  <c r="J36" i="3"/>
  <c r="N41" i="19"/>
  <c r="E30" i="11"/>
  <c r="D10" i="2"/>
  <c r="F17" i="5"/>
  <c r="D18" i="3"/>
  <c r="E45" i="21"/>
  <c r="G38" i="4" s="1"/>
  <c r="N38" i="21"/>
  <c r="O38" i="3" s="1"/>
  <c r="C40" i="21"/>
  <c r="E56" i="21"/>
  <c r="R38" i="4" s="1"/>
  <c r="J38" i="3"/>
  <c r="K50" i="6"/>
  <c r="K52" i="6"/>
  <c r="C35" i="10"/>
  <c r="I16" i="5" s="1"/>
  <c r="C39" i="10"/>
  <c r="Q16" i="5" s="1"/>
  <c r="E35" i="10"/>
  <c r="K16" i="5" s="1"/>
  <c r="D35" i="10"/>
  <c r="J16" i="5" s="1"/>
  <c r="E37" i="10"/>
  <c r="O16" i="5" s="1"/>
  <c r="D37" i="10"/>
  <c r="N16" i="5" s="1"/>
  <c r="D39" i="10"/>
  <c r="R16" i="5" s="1"/>
  <c r="E39" i="10"/>
  <c r="S16" i="5" s="1"/>
  <c r="G16" i="5"/>
  <c r="E9" i="2"/>
  <c r="E17" i="3"/>
  <c r="K50" i="20"/>
  <c r="K52" i="20"/>
  <c r="M22" i="20"/>
  <c r="M21" i="20"/>
  <c r="M44" i="6"/>
  <c r="M49" i="6" s="1"/>
  <c r="M25" i="6"/>
  <c r="N32" i="14"/>
  <c r="M26" i="3" s="1"/>
  <c r="H26" i="3"/>
  <c r="L38" i="6"/>
  <c r="L41" i="6"/>
  <c r="L42" i="6" s="1"/>
  <c r="L38" i="7"/>
  <c r="L41" i="7"/>
  <c r="L42" i="7" s="1"/>
  <c r="K38" i="18"/>
  <c r="K41" i="18"/>
  <c r="K21" i="21"/>
  <c r="K22" i="21"/>
  <c r="K38" i="15"/>
  <c r="K41" i="15"/>
  <c r="L21" i="6"/>
  <c r="L22" i="6"/>
  <c r="N34" i="20"/>
  <c r="N37" i="20" s="1"/>
  <c r="C39" i="20" s="1"/>
  <c r="Q36" i="5" s="1"/>
  <c r="N17" i="20"/>
  <c r="L21" i="7"/>
  <c r="L22" i="7"/>
  <c r="E46" i="15"/>
  <c r="H27" i="4" s="1"/>
  <c r="N50" i="15"/>
  <c r="P27" i="3" s="1"/>
  <c r="N52" i="15"/>
  <c r="E47" i="15"/>
  <c r="I27" i="4" s="1"/>
  <c r="K27" i="3"/>
  <c r="K52" i="9"/>
  <c r="K50" i="9"/>
  <c r="M38" i="15"/>
  <c r="M41" i="15"/>
  <c r="M42" i="15" s="1"/>
  <c r="J22" i="16"/>
  <c r="J21" i="16"/>
  <c r="N32" i="6"/>
  <c r="M11" i="3" s="1"/>
  <c r="H11" i="3"/>
  <c r="N22" i="19"/>
  <c r="N21" i="19"/>
  <c r="N44" i="19" s="1"/>
  <c r="N49" i="19" s="1"/>
  <c r="M44" i="10"/>
  <c r="M49" i="10" s="1"/>
  <c r="M25" i="10"/>
  <c r="M38" i="16"/>
  <c r="M41" i="16"/>
  <c r="M42" i="16" s="1"/>
  <c r="I22" i="15"/>
  <c r="I21" i="15"/>
  <c r="J50" i="19"/>
  <c r="J52" i="19"/>
  <c r="N32" i="9"/>
  <c r="M16" i="3" s="1"/>
  <c r="H16" i="3"/>
  <c r="M38" i="20"/>
  <c r="M41" i="20"/>
  <c r="M42" i="20" s="1"/>
  <c r="K38" i="21"/>
  <c r="K41" i="21"/>
  <c r="L38" i="17"/>
  <c r="L41" i="17"/>
  <c r="L42" i="17" s="1"/>
  <c r="J44" i="9"/>
  <c r="J49" i="9" s="1"/>
  <c r="J25" i="9"/>
  <c r="K21" i="18"/>
  <c r="K22" i="18"/>
  <c r="E37" i="18"/>
  <c r="O34" i="5" s="1"/>
  <c r="E35" i="18"/>
  <c r="K34" i="5" s="1"/>
  <c r="D37" i="18"/>
  <c r="N34" i="5" s="1"/>
  <c r="D35" i="18"/>
  <c r="J34" i="5" s="1"/>
  <c r="C37" i="18"/>
  <c r="M34" i="5" s="1"/>
  <c r="C35" i="18"/>
  <c r="I34" i="5" s="1"/>
  <c r="E39" i="18"/>
  <c r="S34" i="5" s="1"/>
  <c r="D39" i="18"/>
  <c r="R34" i="5" s="1"/>
  <c r="C39" i="18"/>
  <c r="Q34" i="5" s="1"/>
  <c r="E35" i="3"/>
  <c r="G34" i="5"/>
  <c r="E17" i="2"/>
  <c r="K52" i="19"/>
  <c r="K50" i="19"/>
  <c r="K21" i="15"/>
  <c r="K22" i="15"/>
  <c r="N32" i="20"/>
  <c r="M37" i="3" s="1"/>
  <c r="H37" i="3"/>
  <c r="M38" i="13"/>
  <c r="M41" i="13"/>
  <c r="M42" i="13" s="1"/>
  <c r="E30" i="7"/>
  <c r="D6" i="2"/>
  <c r="F13" i="5"/>
  <c r="D14" i="3"/>
  <c r="M21" i="15"/>
  <c r="M22" i="15"/>
  <c r="J50" i="12"/>
  <c r="J52" i="12"/>
  <c r="J38" i="16"/>
  <c r="J41" i="16"/>
  <c r="J38" i="15"/>
  <c r="J41" i="15"/>
  <c r="J42" i="15" s="1"/>
  <c r="I50" i="11"/>
  <c r="I52" i="11"/>
  <c r="M22" i="16"/>
  <c r="M21" i="16"/>
  <c r="I25" i="13"/>
  <c r="I44" i="13"/>
  <c r="I49" i="13" s="1"/>
  <c r="N32" i="10"/>
  <c r="M17" i="3" s="1"/>
  <c r="H17" i="3"/>
  <c r="M38" i="17"/>
  <c r="M41" i="17"/>
  <c r="M42" i="17" s="1"/>
  <c r="J42" i="17"/>
  <c r="D61" i="17"/>
  <c r="T34" i="3" s="1"/>
  <c r="J52" i="7"/>
  <c r="J50" i="7"/>
  <c r="L38" i="20"/>
  <c r="L41" i="20"/>
  <c r="L42" i="20" s="1"/>
  <c r="E56" i="16"/>
  <c r="R28" i="4" s="1"/>
  <c r="C40" i="16"/>
  <c r="N38" i="16"/>
  <c r="O28" i="3" s="1"/>
  <c r="E45" i="16"/>
  <c r="G28" i="4" s="1"/>
  <c r="N41" i="16"/>
  <c r="C37" i="16" s="1"/>
  <c r="M27" i="5" s="1"/>
  <c r="J28" i="3"/>
  <c r="E55" i="21"/>
  <c r="Q38" i="4" s="1"/>
  <c r="E54" i="21"/>
  <c r="P38" i="4" s="1"/>
  <c r="E53" i="21"/>
  <c r="N38" i="4" s="1"/>
  <c r="C38" i="21"/>
  <c r="N42" i="21"/>
  <c r="E52" i="21"/>
  <c r="I52" i="7"/>
  <c r="I50" i="7"/>
  <c r="L50" i="12"/>
  <c r="L52" i="12"/>
  <c r="E30" i="19"/>
  <c r="D18" i="2"/>
  <c r="F35" i="5"/>
  <c r="D36" i="3"/>
  <c r="N17" i="7"/>
  <c r="N34" i="7"/>
  <c r="N37" i="7" s="1"/>
  <c r="M22" i="13"/>
  <c r="M21" i="13"/>
  <c r="E55" i="18"/>
  <c r="Q35" i="4" s="1"/>
  <c r="E54" i="18"/>
  <c r="P35" i="4" s="1"/>
  <c r="E53" i="18"/>
  <c r="N35" i="4" s="1"/>
  <c r="C38" i="18"/>
  <c r="N42" i="18"/>
  <c r="E52" i="18"/>
  <c r="M44" i="21"/>
  <c r="M49" i="21" s="1"/>
  <c r="M25" i="21"/>
  <c r="N17" i="8"/>
  <c r="N34" i="8"/>
  <c r="N37" i="8" s="1"/>
  <c r="J22" i="15"/>
  <c r="J21" i="15"/>
  <c r="C42" i="21"/>
  <c r="C41" i="21"/>
  <c r="X37" i="5" s="1"/>
  <c r="L22" i="8"/>
  <c r="L21" i="8"/>
  <c r="I38" i="9"/>
  <c r="I41" i="9"/>
  <c r="I42" i="9" s="1"/>
  <c r="L38" i="19"/>
  <c r="L41" i="19"/>
  <c r="L42" i="19" s="1"/>
  <c r="N32" i="7"/>
  <c r="M14" i="3" s="1"/>
  <c r="H14" i="3"/>
  <c r="D62" i="13"/>
  <c r="K38" i="14"/>
  <c r="K41" i="14"/>
  <c r="N32" i="8"/>
  <c r="M15" i="3" s="1"/>
  <c r="H15" i="3"/>
  <c r="L38" i="8"/>
  <c r="L41" i="8"/>
  <c r="L42" i="8" s="1"/>
  <c r="L44" i="10"/>
  <c r="L49" i="10" s="1"/>
  <c r="L25" i="10"/>
  <c r="I21" i="9"/>
  <c r="I22" i="9"/>
  <c r="E39" i="12"/>
  <c r="S23" i="5" s="1"/>
  <c r="D39" i="12"/>
  <c r="R23" i="5" s="1"/>
  <c r="C39" i="12"/>
  <c r="Q23" i="5" s="1"/>
  <c r="E37" i="12"/>
  <c r="O23" i="5" s="1"/>
  <c r="E35" i="12"/>
  <c r="K23" i="5" s="1"/>
  <c r="D37" i="12"/>
  <c r="N23" i="5" s="1"/>
  <c r="D35" i="12"/>
  <c r="J23" i="5" s="1"/>
  <c r="C35" i="12"/>
  <c r="I23" i="5" s="1"/>
  <c r="E24" i="3"/>
  <c r="G23" i="5"/>
  <c r="E11" i="2"/>
  <c r="N34" i="17"/>
  <c r="N37" i="17" s="1"/>
  <c r="N17" i="17"/>
  <c r="N34" i="14"/>
  <c r="N37" i="14" s="1"/>
  <c r="N17" i="14"/>
  <c r="J21" i="10"/>
  <c r="J22" i="10"/>
  <c r="M50" i="9"/>
  <c r="M52" i="9"/>
  <c r="L21" i="20"/>
  <c r="L22" i="20"/>
  <c r="N21" i="16"/>
  <c r="N44" i="16" s="1"/>
  <c r="N49" i="16" s="1"/>
  <c r="N22" i="16"/>
  <c r="J38" i="11"/>
  <c r="J41" i="11"/>
  <c r="J42" i="11" s="1"/>
  <c r="I22" i="19"/>
  <c r="I21" i="19"/>
  <c r="K38" i="11"/>
  <c r="K41" i="11"/>
  <c r="J22" i="11"/>
  <c r="J21" i="11"/>
  <c r="I38" i="19"/>
  <c r="I41" i="19"/>
  <c r="J22" i="13"/>
  <c r="J21" i="13"/>
  <c r="L22" i="19"/>
  <c r="L21" i="19"/>
  <c r="E37" i="21"/>
  <c r="O37" i="5" s="1"/>
  <c r="E35" i="21"/>
  <c r="K37" i="5" s="1"/>
  <c r="D37" i="21"/>
  <c r="N37" i="5" s="1"/>
  <c r="D35" i="21"/>
  <c r="J37" i="5" s="1"/>
  <c r="C37" i="21"/>
  <c r="M37" i="5" s="1"/>
  <c r="C35" i="21"/>
  <c r="I37" i="5" s="1"/>
  <c r="E39" i="21"/>
  <c r="S37" i="5" s="1"/>
  <c r="C39" i="21"/>
  <c r="Q37" i="5" s="1"/>
  <c r="G37" i="5"/>
  <c r="D39" i="21"/>
  <c r="R37" i="5" s="1"/>
  <c r="E38" i="3"/>
  <c r="E20" i="2"/>
  <c r="E56" i="12"/>
  <c r="R24" i="4" s="1"/>
  <c r="N38" i="12"/>
  <c r="O24" i="3" s="1"/>
  <c r="E45" i="12"/>
  <c r="G24" i="4" s="1"/>
  <c r="C40" i="12"/>
  <c r="J24" i="3"/>
  <c r="N41" i="12"/>
  <c r="I44" i="20"/>
  <c r="I49" i="20" s="1"/>
  <c r="I25" i="20"/>
  <c r="K21" i="14"/>
  <c r="K22" i="14"/>
  <c r="C35" i="20"/>
  <c r="I36" i="5" s="1"/>
  <c r="E39" i="20"/>
  <c r="S36" i="5" s="1"/>
  <c r="D39" i="20"/>
  <c r="R36" i="5" s="1"/>
  <c r="E35" i="20"/>
  <c r="K36" i="5" s="1"/>
  <c r="D35" i="20"/>
  <c r="J36" i="5" s="1"/>
  <c r="E37" i="20"/>
  <c r="O36" i="5" s="1"/>
  <c r="D37" i="20"/>
  <c r="N36" i="5" s="1"/>
  <c r="G36" i="5"/>
  <c r="E37" i="3"/>
  <c r="E19" i="2"/>
  <c r="I42" i="8"/>
  <c r="D62" i="8"/>
  <c r="K50" i="13"/>
  <c r="K52" i="13"/>
  <c r="I22" i="18"/>
  <c r="I21" i="18"/>
  <c r="I38" i="15"/>
  <c r="I41" i="15"/>
  <c r="I42" i="15" s="1"/>
  <c r="M44" i="14"/>
  <c r="M49" i="14" s="1"/>
  <c r="M25" i="14"/>
  <c r="I44" i="17"/>
  <c r="I49" i="17" s="1"/>
  <c r="I25" i="17"/>
  <c r="J44" i="6"/>
  <c r="J49" i="6" s="1"/>
  <c r="J25" i="6"/>
  <c r="J38" i="21"/>
  <c r="J41" i="21"/>
  <c r="J42" i="21" s="1"/>
  <c r="N21" i="12"/>
  <c r="N44" i="12" s="1"/>
  <c r="N49" i="12" s="1"/>
  <c r="N22" i="12"/>
  <c r="E39" i="8"/>
  <c r="S14" i="5" s="1"/>
  <c r="D39" i="8"/>
  <c r="R14" i="5" s="1"/>
  <c r="C39" i="8"/>
  <c r="Q14" i="5" s="1"/>
  <c r="E37" i="8"/>
  <c r="O14" i="5" s="1"/>
  <c r="E35" i="8"/>
  <c r="K14" i="5" s="1"/>
  <c r="D37" i="8"/>
  <c r="N14" i="5" s="1"/>
  <c r="D35" i="8"/>
  <c r="J14" i="5" s="1"/>
  <c r="C35" i="8"/>
  <c r="I14" i="5" s="1"/>
  <c r="G14" i="5"/>
  <c r="E15" i="3"/>
  <c r="E7" i="2"/>
  <c r="N17" i="13"/>
  <c r="N34" i="13"/>
  <c r="N37" i="13" s="1"/>
  <c r="I38" i="21"/>
  <c r="I41" i="21"/>
  <c r="I42" i="21" s="1"/>
  <c r="J38" i="14"/>
  <c r="J41" i="14"/>
  <c r="J42" i="14" s="1"/>
  <c r="I21" i="10"/>
  <c r="I22" i="10"/>
  <c r="I21" i="6"/>
  <c r="I22" i="6"/>
  <c r="K22" i="11"/>
  <c r="K21" i="11"/>
  <c r="J38" i="13"/>
  <c r="J41" i="13"/>
  <c r="D39" i="14"/>
  <c r="R25" i="5" s="1"/>
  <c r="E35" i="14"/>
  <c r="K25" i="5" s="1"/>
  <c r="E39" i="14"/>
  <c r="S25" i="5" s="1"/>
  <c r="D35" i="14"/>
  <c r="J25" i="5" s="1"/>
  <c r="D37" i="14"/>
  <c r="N25" i="5" s="1"/>
  <c r="C35" i="14"/>
  <c r="I25" i="5" s="1"/>
  <c r="C39" i="14"/>
  <c r="Q25" i="5" s="1"/>
  <c r="E37" i="14"/>
  <c r="O25" i="5" s="1"/>
  <c r="G25" i="5"/>
  <c r="E26" i="3"/>
  <c r="E13" i="2"/>
  <c r="M50" i="12"/>
  <c r="M52" i="12"/>
  <c r="D64" i="6"/>
  <c r="U11" i="3" s="1"/>
  <c r="D61" i="6"/>
  <c r="T11" i="3" s="1"/>
  <c r="K42" i="6"/>
  <c r="D65" i="6"/>
  <c r="J52" i="17"/>
  <c r="J50" i="17"/>
  <c r="I50" i="8"/>
  <c r="I52" i="8"/>
  <c r="D61" i="9"/>
  <c r="T16" i="3" s="1"/>
  <c r="K42" i="9"/>
  <c r="D65" i="9"/>
  <c r="D64" i="9"/>
  <c r="U16" i="3" s="1"/>
  <c r="E55" i="15"/>
  <c r="Q27" i="4" s="1"/>
  <c r="E54" i="15"/>
  <c r="P27" i="4" s="1"/>
  <c r="E53" i="15"/>
  <c r="N27" i="4" s="1"/>
  <c r="C38" i="15"/>
  <c r="E52" i="15"/>
  <c r="N42" i="15"/>
  <c r="J22" i="21"/>
  <c r="J21" i="21"/>
  <c r="I38" i="14"/>
  <c r="I41" i="14"/>
  <c r="I42" i="14" s="1"/>
  <c r="L38" i="9"/>
  <c r="L41" i="9"/>
  <c r="L42" i="9" s="1"/>
  <c r="C42" i="18"/>
  <c r="C41" i="18"/>
  <c r="X34" i="5" s="1"/>
  <c r="C39" i="16"/>
  <c r="Q27" i="5" s="1"/>
  <c r="E39" i="16"/>
  <c r="S27" i="5" s="1"/>
  <c r="D39" i="16"/>
  <c r="R27" i="5" s="1"/>
  <c r="E37" i="16"/>
  <c r="O27" i="5" s="1"/>
  <c r="E35" i="16"/>
  <c r="K27" i="5" s="1"/>
  <c r="D37" i="16"/>
  <c r="N27" i="5" s="1"/>
  <c r="D35" i="16"/>
  <c r="J27" i="5" s="1"/>
  <c r="C35" i="16"/>
  <c r="I27" i="5" s="1"/>
  <c r="G27" i="5"/>
  <c r="E28" i="3"/>
  <c r="E15" i="2"/>
  <c r="N32" i="13"/>
  <c r="M25" i="3" s="1"/>
  <c r="M30" i="3" s="1"/>
  <c r="H25" i="3"/>
  <c r="K38" i="7"/>
  <c r="K41" i="7"/>
  <c r="I22" i="21"/>
  <c r="I21" i="21"/>
  <c r="J21" i="14"/>
  <c r="J22" i="14"/>
  <c r="E64" i="10"/>
  <c r="W17" i="3" s="1"/>
  <c r="E65" i="10"/>
  <c r="J22" i="18"/>
  <c r="J21" i="18"/>
  <c r="N32" i="17"/>
  <c r="M34" i="3" s="1"/>
  <c r="H34" i="3"/>
  <c r="F10" i="5"/>
  <c r="E30" i="6"/>
  <c r="D5" i="2"/>
  <c r="D11" i="3"/>
  <c r="M22" i="19"/>
  <c r="M21" i="19"/>
  <c r="M44" i="18"/>
  <c r="M49" i="18" s="1"/>
  <c r="M25" i="18"/>
  <c r="J44" i="20"/>
  <c r="J49" i="20" s="1"/>
  <c r="J25" i="20"/>
  <c r="J38" i="18"/>
  <c r="J41" i="18"/>
  <c r="J42" i="18" s="1"/>
  <c r="L44" i="21"/>
  <c r="L49" i="21" s="1"/>
  <c r="L25" i="21"/>
  <c r="L44" i="14"/>
  <c r="L49" i="14" s="1"/>
  <c r="L25" i="14"/>
  <c r="I38" i="18"/>
  <c r="I41" i="18"/>
  <c r="I42" i="18" s="1"/>
  <c r="I21" i="14"/>
  <c r="I22" i="14"/>
  <c r="I38" i="10"/>
  <c r="I41" i="10"/>
  <c r="L44" i="15"/>
  <c r="L49" i="15" s="1"/>
  <c r="L25" i="15"/>
  <c r="E30" i="17"/>
  <c r="F33" i="5"/>
  <c r="D16" i="2"/>
  <c r="D34" i="3"/>
  <c r="L21" i="9"/>
  <c r="L22" i="9"/>
  <c r="M38" i="7"/>
  <c r="M41" i="7"/>
  <c r="M42" i="7" s="1"/>
  <c r="K22" i="7"/>
  <c r="K21" i="7"/>
  <c r="K50" i="17"/>
  <c r="K52" i="17"/>
  <c r="D39" i="13"/>
  <c r="R24" i="5" s="1"/>
  <c r="D37" i="13"/>
  <c r="N24" i="5" s="1"/>
  <c r="D35" i="13"/>
  <c r="J24" i="5" s="1"/>
  <c r="C35" i="13"/>
  <c r="I24" i="5" s="1"/>
  <c r="E39" i="13"/>
  <c r="S24" i="5" s="1"/>
  <c r="E37" i="13"/>
  <c r="O24" i="5" s="1"/>
  <c r="E35" i="13"/>
  <c r="K24" i="5" s="1"/>
  <c r="E25" i="3"/>
  <c r="G24" i="5"/>
  <c r="E12" i="2"/>
  <c r="D37" i="9"/>
  <c r="N15" i="5" s="1"/>
  <c r="D35" i="9"/>
  <c r="J15" i="5" s="1"/>
  <c r="C35" i="9"/>
  <c r="I15" i="5" s="1"/>
  <c r="E39" i="9"/>
  <c r="S15" i="5" s="1"/>
  <c r="D39" i="9"/>
  <c r="R15" i="5" s="1"/>
  <c r="C39" i="9"/>
  <c r="Q15" i="5" s="1"/>
  <c r="E37" i="9"/>
  <c r="O15" i="5" s="1"/>
  <c r="E35" i="9"/>
  <c r="K15" i="5" s="1"/>
  <c r="G15" i="5"/>
  <c r="E16" i="3"/>
  <c r="E8" i="2"/>
  <c r="M25" i="8" l="1"/>
  <c r="M44" i="8"/>
  <c r="M49" i="8" s="1"/>
  <c r="D61" i="12"/>
  <c r="T24" i="3" s="1"/>
  <c r="D65" i="12"/>
  <c r="K42" i="12"/>
  <c r="D64" i="12"/>
  <c r="U24" i="3" s="1"/>
  <c r="D64" i="20"/>
  <c r="U37" i="3" s="1"/>
  <c r="D62" i="20"/>
  <c r="D61" i="20"/>
  <c r="T37" i="3" s="1"/>
  <c r="K42" i="20"/>
  <c r="D65" i="20"/>
  <c r="K44" i="12"/>
  <c r="K49" i="12" s="1"/>
  <c r="K25" i="12"/>
  <c r="N25" i="12" s="1"/>
  <c r="K50" i="8"/>
  <c r="K52" i="8"/>
  <c r="I42" i="12"/>
  <c r="D62" i="12"/>
  <c r="M48" i="3"/>
  <c r="I25" i="12"/>
  <c r="I44" i="12"/>
  <c r="I49" i="12" s="1"/>
  <c r="M31" i="3"/>
  <c r="D62" i="9"/>
  <c r="K52" i="16"/>
  <c r="E64" i="16" s="1"/>
  <c r="W28" i="3" s="1"/>
  <c r="J18" i="3"/>
  <c r="E45" i="11"/>
  <c r="G18" i="4" s="1"/>
  <c r="N38" i="11"/>
  <c r="O18" i="3" s="1"/>
  <c r="C40" i="11"/>
  <c r="E56" i="11"/>
  <c r="R18" i="4" s="1"/>
  <c r="N41" i="11"/>
  <c r="N22" i="11"/>
  <c r="N21" i="11"/>
  <c r="N44" i="11" s="1"/>
  <c r="N49" i="11" s="1"/>
  <c r="M46" i="3"/>
  <c r="J50" i="8"/>
  <c r="J52" i="8"/>
  <c r="I50" i="16"/>
  <c r="I52" i="16"/>
  <c r="L44" i="16"/>
  <c r="L49" i="16" s="1"/>
  <c r="L25" i="16"/>
  <c r="I42" i="19"/>
  <c r="D62" i="19"/>
  <c r="K25" i="7"/>
  <c r="K44" i="7"/>
  <c r="K49" i="7" s="1"/>
  <c r="I42" i="10"/>
  <c r="D62" i="10"/>
  <c r="M49" i="3"/>
  <c r="M50" i="14"/>
  <c r="M52" i="14"/>
  <c r="K44" i="14"/>
  <c r="K49" i="14" s="1"/>
  <c r="K25" i="14"/>
  <c r="N25" i="14" s="1"/>
  <c r="E46" i="16"/>
  <c r="H28" i="4" s="1"/>
  <c r="N52" i="16"/>
  <c r="E47" i="16"/>
  <c r="I28" i="4" s="1"/>
  <c r="N50" i="16"/>
  <c r="P28" i="3" s="1"/>
  <c r="K28" i="3"/>
  <c r="K30" i="5"/>
  <c r="K29" i="5"/>
  <c r="U34" i="5"/>
  <c r="N35" i="3"/>
  <c r="E39" i="19"/>
  <c r="S35" i="5" s="1"/>
  <c r="D39" i="19"/>
  <c r="R35" i="5" s="1"/>
  <c r="C39" i="19"/>
  <c r="Q35" i="5" s="1"/>
  <c r="E37" i="19"/>
  <c r="O35" i="5" s="1"/>
  <c r="E35" i="19"/>
  <c r="K35" i="5" s="1"/>
  <c r="D37" i="19"/>
  <c r="N35" i="5" s="1"/>
  <c r="D35" i="19"/>
  <c r="J35" i="5" s="1"/>
  <c r="C37" i="19"/>
  <c r="M35" i="5" s="1"/>
  <c r="C35" i="19"/>
  <c r="I35" i="5" s="1"/>
  <c r="G35" i="5"/>
  <c r="E18" i="2"/>
  <c r="E36" i="3"/>
  <c r="J42" i="16"/>
  <c r="D61" i="16"/>
  <c r="T28" i="3" s="1"/>
  <c r="N22" i="20"/>
  <c r="N21" i="20"/>
  <c r="N44" i="20" s="1"/>
  <c r="N49" i="20" s="1"/>
  <c r="J44" i="14"/>
  <c r="J49" i="14" s="1"/>
  <c r="J25" i="14"/>
  <c r="D62" i="14"/>
  <c r="D65" i="14"/>
  <c r="K42" i="14"/>
  <c r="D64" i="14"/>
  <c r="U26" i="3" s="1"/>
  <c r="D61" i="14"/>
  <c r="T26" i="3" s="1"/>
  <c r="E52" i="16"/>
  <c r="E55" i="16"/>
  <c r="Q28" i="4" s="1"/>
  <c r="E54" i="16"/>
  <c r="P28" i="4" s="1"/>
  <c r="E53" i="16"/>
  <c r="N28" i="4" s="1"/>
  <c r="N42" i="16"/>
  <c r="C38" i="16"/>
  <c r="I44" i="14"/>
  <c r="I49" i="14" s="1"/>
  <c r="I25" i="14"/>
  <c r="M50" i="18"/>
  <c r="M52" i="18"/>
  <c r="I25" i="18"/>
  <c r="I44" i="18"/>
  <c r="I49" i="18" s="1"/>
  <c r="E52" i="12"/>
  <c r="N42" i="12"/>
  <c r="E55" i="12"/>
  <c r="Q24" i="4" s="1"/>
  <c r="E54" i="12"/>
  <c r="P24" i="4" s="1"/>
  <c r="E53" i="12"/>
  <c r="N24" i="4" s="1"/>
  <c r="C38" i="12"/>
  <c r="J25" i="11"/>
  <c r="J44" i="11"/>
  <c r="J49" i="11" s="1"/>
  <c r="N22" i="17"/>
  <c r="N21" i="17"/>
  <c r="N44" i="17" s="1"/>
  <c r="N49" i="17" s="1"/>
  <c r="R30" i="5"/>
  <c r="R29" i="5"/>
  <c r="J25" i="15"/>
  <c r="J44" i="15"/>
  <c r="J49" i="15" s="1"/>
  <c r="N22" i="10"/>
  <c r="N21" i="10"/>
  <c r="N44" i="10" s="1"/>
  <c r="N49" i="10" s="1"/>
  <c r="N21" i="9"/>
  <c r="N44" i="9" s="1"/>
  <c r="N49" i="9" s="1"/>
  <c r="N22" i="9"/>
  <c r="E65" i="9"/>
  <c r="E64" i="9"/>
  <c r="W16" i="3" s="1"/>
  <c r="L44" i="6"/>
  <c r="L49" i="6" s="1"/>
  <c r="L25" i="6"/>
  <c r="N25" i="6" s="1"/>
  <c r="N21" i="6"/>
  <c r="N44" i="6" s="1"/>
  <c r="N49" i="6" s="1"/>
  <c r="N22" i="6"/>
  <c r="C40" i="10"/>
  <c r="E56" i="10"/>
  <c r="R17" i="4" s="1"/>
  <c r="N38" i="10"/>
  <c r="O17" i="3" s="1"/>
  <c r="E45" i="10"/>
  <c r="G17" i="4" s="1"/>
  <c r="J17" i="3"/>
  <c r="N41" i="10"/>
  <c r="E56" i="9"/>
  <c r="R16" i="4" s="1"/>
  <c r="E45" i="9"/>
  <c r="G16" i="4" s="1"/>
  <c r="C40" i="9"/>
  <c r="N38" i="9"/>
  <c r="O16" i="3" s="1"/>
  <c r="J16" i="3"/>
  <c r="N41" i="9"/>
  <c r="L44" i="9"/>
  <c r="L49" i="9" s="1"/>
  <c r="L25" i="9"/>
  <c r="N25" i="9" s="1"/>
  <c r="M40" i="3"/>
  <c r="M41" i="3"/>
  <c r="I44" i="6"/>
  <c r="I49" i="6" s="1"/>
  <c r="I25" i="6"/>
  <c r="E65" i="13"/>
  <c r="E64" i="13"/>
  <c r="W25" i="3" s="1"/>
  <c r="D65" i="11"/>
  <c r="D64" i="11"/>
  <c r="U18" i="3" s="1"/>
  <c r="D62" i="11"/>
  <c r="D61" i="11"/>
  <c r="T18" i="3" s="1"/>
  <c r="K42" i="11"/>
  <c r="M20" i="3"/>
  <c r="M21" i="3"/>
  <c r="M25" i="13"/>
  <c r="N25" i="13" s="1"/>
  <c r="M44" i="13"/>
  <c r="M49" i="13" s="1"/>
  <c r="V37" i="5"/>
  <c r="M38" i="4"/>
  <c r="M44" i="15"/>
  <c r="M49" i="15" s="1"/>
  <c r="M25" i="15"/>
  <c r="K44" i="15"/>
  <c r="K49" i="15" s="1"/>
  <c r="K25" i="15"/>
  <c r="N25" i="10"/>
  <c r="D65" i="15"/>
  <c r="D64" i="15"/>
  <c r="U27" i="3" s="1"/>
  <c r="D62" i="15"/>
  <c r="D61" i="15"/>
  <c r="T27" i="3" s="1"/>
  <c r="K42" i="15"/>
  <c r="C40" i="6"/>
  <c r="E56" i="6"/>
  <c r="R11" i="4" s="1"/>
  <c r="E45" i="6"/>
  <c r="G11" i="4" s="1"/>
  <c r="N38" i="6"/>
  <c r="O11" i="3" s="1"/>
  <c r="J11" i="3"/>
  <c r="N41" i="6"/>
  <c r="L25" i="17"/>
  <c r="L44" i="17"/>
  <c r="L49" i="17" s="1"/>
  <c r="M25" i="19"/>
  <c r="M44" i="19"/>
  <c r="M49" i="19" s="1"/>
  <c r="N52" i="12"/>
  <c r="E46" i="12"/>
  <c r="H24" i="4" s="1"/>
  <c r="E47" i="12"/>
  <c r="I24" i="4" s="1"/>
  <c r="N50" i="12"/>
  <c r="P24" i="3" s="1"/>
  <c r="K24" i="3"/>
  <c r="J44" i="10"/>
  <c r="J49" i="10" s="1"/>
  <c r="J25" i="10"/>
  <c r="I44" i="9"/>
  <c r="I49" i="9" s="1"/>
  <c r="I25" i="9"/>
  <c r="U37" i="5"/>
  <c r="N38" i="3"/>
  <c r="M44" i="16"/>
  <c r="M49" i="16" s="1"/>
  <c r="M25" i="16"/>
  <c r="N25" i="16" s="1"/>
  <c r="M50" i="10"/>
  <c r="M52" i="10"/>
  <c r="M50" i="6"/>
  <c r="M52" i="6"/>
  <c r="J50" i="20"/>
  <c r="J52" i="20"/>
  <c r="E61" i="20" s="1"/>
  <c r="V37" i="3" s="1"/>
  <c r="N38" i="13"/>
  <c r="O25" i="3" s="1"/>
  <c r="E45" i="13"/>
  <c r="G25" i="4" s="1"/>
  <c r="G30" i="4" s="1"/>
  <c r="C40" i="13"/>
  <c r="E56" i="13"/>
  <c r="R25" i="4" s="1"/>
  <c r="J25" i="3"/>
  <c r="N41" i="13"/>
  <c r="I50" i="20"/>
  <c r="I52" i="20"/>
  <c r="E62" i="20" s="1"/>
  <c r="D65" i="7"/>
  <c r="D64" i="7"/>
  <c r="U14" i="3" s="1"/>
  <c r="D62" i="7"/>
  <c r="D61" i="7"/>
  <c r="T14" i="3" s="1"/>
  <c r="K42" i="7"/>
  <c r="D62" i="6"/>
  <c r="J25" i="18"/>
  <c r="J44" i="18"/>
  <c r="J49" i="18" s="1"/>
  <c r="I44" i="10"/>
  <c r="I49" i="10" s="1"/>
  <c r="I25" i="10"/>
  <c r="I25" i="19"/>
  <c r="I44" i="19"/>
  <c r="I49" i="19" s="1"/>
  <c r="N21" i="14"/>
  <c r="N44" i="14" s="1"/>
  <c r="N49" i="14" s="1"/>
  <c r="N22" i="14"/>
  <c r="E56" i="8"/>
  <c r="R15" i="4" s="1"/>
  <c r="E45" i="8"/>
  <c r="G15" i="4" s="1"/>
  <c r="N38" i="8"/>
  <c r="O15" i="3" s="1"/>
  <c r="N41" i="8"/>
  <c r="C40" i="8"/>
  <c r="J15" i="3"/>
  <c r="E56" i="7"/>
  <c r="R14" i="4" s="1"/>
  <c r="E45" i="7"/>
  <c r="G14" i="4" s="1"/>
  <c r="N38" i="7"/>
  <c r="O14" i="3" s="1"/>
  <c r="C40" i="7"/>
  <c r="J14" i="3"/>
  <c r="N41" i="7"/>
  <c r="C37" i="7" s="1"/>
  <c r="M13" i="5" s="1"/>
  <c r="E61" i="19"/>
  <c r="V36" i="3" s="1"/>
  <c r="E65" i="19"/>
  <c r="E64" i="19"/>
  <c r="W36" i="3" s="1"/>
  <c r="E46" i="19"/>
  <c r="H36" i="4" s="1"/>
  <c r="N50" i="19"/>
  <c r="P36" i="3" s="1"/>
  <c r="N52" i="19"/>
  <c r="E47" i="19"/>
  <c r="I36" i="4" s="1"/>
  <c r="K36" i="3"/>
  <c r="C42" i="15"/>
  <c r="C41" i="15"/>
  <c r="X26" i="5" s="1"/>
  <c r="M25" i="20"/>
  <c r="M44" i="20"/>
  <c r="M49" i="20" s="1"/>
  <c r="M52" i="11"/>
  <c r="M50" i="11"/>
  <c r="M25" i="17"/>
  <c r="M44" i="17"/>
  <c r="M49" i="17" s="1"/>
  <c r="L50" i="18"/>
  <c r="L52" i="18"/>
  <c r="O30" i="5"/>
  <c r="O29" i="5"/>
  <c r="N21" i="13"/>
  <c r="N44" i="13" s="1"/>
  <c r="N49" i="13" s="1"/>
  <c r="N22" i="13"/>
  <c r="D65" i="21"/>
  <c r="D64" i="21"/>
  <c r="U38" i="3" s="1"/>
  <c r="D62" i="21"/>
  <c r="D61" i="21"/>
  <c r="T38" i="3" s="1"/>
  <c r="K42" i="21"/>
  <c r="I50" i="13"/>
  <c r="I52" i="13"/>
  <c r="E62" i="13" s="1"/>
  <c r="J25" i="21"/>
  <c r="J44" i="21"/>
  <c r="J49" i="21" s="1"/>
  <c r="J42" i="13"/>
  <c r="D61" i="13"/>
  <c r="T25" i="3" s="1"/>
  <c r="J52" i="6"/>
  <c r="J50" i="6"/>
  <c r="C40" i="14"/>
  <c r="N38" i="14"/>
  <c r="O26" i="3" s="1"/>
  <c r="E56" i="14"/>
  <c r="R26" i="4" s="1"/>
  <c r="R30" i="4" s="1"/>
  <c r="E45" i="14"/>
  <c r="G26" i="4" s="1"/>
  <c r="J26" i="3"/>
  <c r="N41" i="14"/>
  <c r="I30" i="5"/>
  <c r="I29" i="5"/>
  <c r="L50" i="10"/>
  <c r="L52" i="10"/>
  <c r="N21" i="8"/>
  <c r="N44" i="8" s="1"/>
  <c r="N49" i="8" s="1"/>
  <c r="N22" i="8"/>
  <c r="N21" i="7"/>
  <c r="N44" i="7" s="1"/>
  <c r="N49" i="7" s="1"/>
  <c r="N22" i="7"/>
  <c r="K25" i="21"/>
  <c r="N25" i="21" s="1"/>
  <c r="K44" i="21"/>
  <c r="K49" i="21" s="1"/>
  <c r="C40" i="20"/>
  <c r="E56" i="20"/>
  <c r="R37" i="4" s="1"/>
  <c r="E45" i="20"/>
  <c r="G37" i="4" s="1"/>
  <c r="N38" i="20"/>
  <c r="O37" i="3" s="1"/>
  <c r="N41" i="20"/>
  <c r="J37" i="3"/>
  <c r="I25" i="21"/>
  <c r="I44" i="21"/>
  <c r="I49" i="21" s="1"/>
  <c r="D37" i="6"/>
  <c r="N10" i="5" s="1"/>
  <c r="D35" i="6"/>
  <c r="J10" i="5" s="1"/>
  <c r="C37" i="6"/>
  <c r="M10" i="5" s="1"/>
  <c r="C35" i="6"/>
  <c r="I10" i="5" s="1"/>
  <c r="D39" i="6"/>
  <c r="R10" i="5" s="1"/>
  <c r="E37" i="6"/>
  <c r="O10" i="5" s="1"/>
  <c r="E35" i="6"/>
  <c r="K10" i="5" s="1"/>
  <c r="G10" i="5"/>
  <c r="E39" i="6"/>
  <c r="S10" i="5" s="1"/>
  <c r="C39" i="6"/>
  <c r="Q10" i="5" s="1"/>
  <c r="E5" i="2"/>
  <c r="E11" i="3"/>
  <c r="C39" i="17"/>
  <c r="Q33" i="5" s="1"/>
  <c r="E39" i="17"/>
  <c r="S33" i="5" s="1"/>
  <c r="S45" i="5" s="1"/>
  <c r="D39" i="17"/>
  <c r="R33" i="5" s="1"/>
  <c r="D35" i="17"/>
  <c r="J33" i="5" s="1"/>
  <c r="D37" i="17"/>
  <c r="N33" i="5" s="1"/>
  <c r="E37" i="17"/>
  <c r="O33" i="5" s="1"/>
  <c r="C35" i="17"/>
  <c r="I33" i="5" s="1"/>
  <c r="G33" i="5"/>
  <c r="E35" i="17"/>
  <c r="K33" i="5" s="1"/>
  <c r="E34" i="3"/>
  <c r="E16" i="2"/>
  <c r="L25" i="19"/>
  <c r="L44" i="19"/>
  <c r="L49" i="19" s="1"/>
  <c r="C37" i="12"/>
  <c r="M23" i="5" s="1"/>
  <c r="E37" i="7"/>
  <c r="O13" i="5" s="1"/>
  <c r="E35" i="7"/>
  <c r="K13" i="5" s="1"/>
  <c r="D37" i="7"/>
  <c r="N13" i="5" s="1"/>
  <c r="D35" i="7"/>
  <c r="J13" i="5" s="1"/>
  <c r="C35" i="7"/>
  <c r="I13" i="5" s="1"/>
  <c r="C39" i="7"/>
  <c r="Q13" i="5" s="1"/>
  <c r="E39" i="7"/>
  <c r="S13" i="5" s="1"/>
  <c r="G13" i="5"/>
  <c r="D39" i="7"/>
  <c r="R13" i="5" s="1"/>
  <c r="E6" i="2"/>
  <c r="E14" i="3"/>
  <c r="K25" i="18"/>
  <c r="N25" i="18" s="1"/>
  <c r="K44" i="18"/>
  <c r="K49" i="18" s="1"/>
  <c r="D65" i="18"/>
  <c r="D64" i="18"/>
  <c r="U35" i="3" s="1"/>
  <c r="D62" i="18"/>
  <c r="D61" i="18"/>
  <c r="T35" i="3" s="1"/>
  <c r="K42" i="18"/>
  <c r="E65" i="20"/>
  <c r="E64" i="20"/>
  <c r="W37" i="3" s="1"/>
  <c r="E37" i="11"/>
  <c r="O17" i="5" s="1"/>
  <c r="E35" i="11"/>
  <c r="K17" i="5" s="1"/>
  <c r="D37" i="11"/>
  <c r="N17" i="5" s="1"/>
  <c r="D35" i="11"/>
  <c r="J17" i="5" s="1"/>
  <c r="J48" i="5" s="1"/>
  <c r="C37" i="11"/>
  <c r="M17" i="5" s="1"/>
  <c r="C35" i="11"/>
  <c r="I17" i="5" s="1"/>
  <c r="E39" i="11"/>
  <c r="S17" i="5" s="1"/>
  <c r="D39" i="11"/>
  <c r="R17" i="5" s="1"/>
  <c r="C39" i="11"/>
  <c r="Q17" i="5" s="1"/>
  <c r="G17" i="5"/>
  <c r="E18" i="3"/>
  <c r="E10" i="2"/>
  <c r="J42" i="10"/>
  <c r="D61" i="10"/>
  <c r="T17" i="3" s="1"/>
  <c r="L50" i="14"/>
  <c r="L52" i="14"/>
  <c r="L50" i="21"/>
  <c r="L52" i="21"/>
  <c r="E61" i="17"/>
  <c r="V34" i="3" s="1"/>
  <c r="E65" i="17"/>
  <c r="E64" i="17"/>
  <c r="W34" i="3" s="1"/>
  <c r="U26" i="5"/>
  <c r="N27" i="3"/>
  <c r="K25" i="11"/>
  <c r="N25" i="11" s="1"/>
  <c r="K44" i="11"/>
  <c r="K49" i="11" s="1"/>
  <c r="I50" i="17"/>
  <c r="I52" i="17"/>
  <c r="E62" i="17" s="1"/>
  <c r="J30" i="5"/>
  <c r="J29" i="5"/>
  <c r="M50" i="21"/>
  <c r="M52" i="21"/>
  <c r="E52" i="19"/>
  <c r="E55" i="19"/>
  <c r="Q36" i="4" s="1"/>
  <c r="E54" i="19"/>
  <c r="P36" i="4" s="1"/>
  <c r="E53" i="19"/>
  <c r="N36" i="4" s="1"/>
  <c r="N42" i="19"/>
  <c r="C38" i="19"/>
  <c r="L25" i="20"/>
  <c r="L44" i="20"/>
  <c r="L49" i="20" s="1"/>
  <c r="C40" i="17"/>
  <c r="E56" i="17"/>
  <c r="R34" i="4" s="1"/>
  <c r="E45" i="17"/>
  <c r="G34" i="4" s="1"/>
  <c r="N38" i="17"/>
  <c r="O34" i="3" s="1"/>
  <c r="N41" i="17"/>
  <c r="J34" i="3"/>
  <c r="S30" i="5"/>
  <c r="S29" i="5"/>
  <c r="C39" i="13"/>
  <c r="Q24" i="5" s="1"/>
  <c r="L50" i="15"/>
  <c r="L52" i="15"/>
  <c r="M45" i="3"/>
  <c r="V26" i="5"/>
  <c r="M27" i="4"/>
  <c r="J25" i="13"/>
  <c r="J44" i="13"/>
  <c r="J49" i="13" s="1"/>
  <c r="N30" i="5"/>
  <c r="N29" i="5"/>
  <c r="L25" i="8"/>
  <c r="N25" i="8" s="1"/>
  <c r="L44" i="8"/>
  <c r="L49" i="8" s="1"/>
  <c r="V34" i="5"/>
  <c r="M35" i="4"/>
  <c r="J50" i="9"/>
  <c r="J52" i="9"/>
  <c r="E61" i="9" s="1"/>
  <c r="V16" i="3" s="1"/>
  <c r="I25" i="15"/>
  <c r="I44" i="15"/>
  <c r="I49" i="15" s="1"/>
  <c r="J44" i="16"/>
  <c r="J49" i="16" s="1"/>
  <c r="J25" i="16"/>
  <c r="L25" i="7"/>
  <c r="L44" i="7"/>
  <c r="L49" i="7" s="1"/>
  <c r="E64" i="6"/>
  <c r="W11" i="3" s="1"/>
  <c r="E61" i="6"/>
  <c r="V11" i="3" s="1"/>
  <c r="E65" i="6"/>
  <c r="M44" i="7"/>
  <c r="M49" i="7" s="1"/>
  <c r="M25" i="7"/>
  <c r="K44" i="5" l="1"/>
  <c r="K50" i="12"/>
  <c r="K52" i="12"/>
  <c r="O30" i="3"/>
  <c r="J45" i="5"/>
  <c r="Q47" i="5"/>
  <c r="T40" i="3"/>
  <c r="J47" i="5"/>
  <c r="M50" i="8"/>
  <c r="M52" i="8"/>
  <c r="N48" i="5"/>
  <c r="G45" i="4"/>
  <c r="N25" i="19"/>
  <c r="L52" i="16"/>
  <c r="L50" i="16"/>
  <c r="N45" i="5"/>
  <c r="O45" i="5"/>
  <c r="N25" i="15"/>
  <c r="E62" i="16"/>
  <c r="E65" i="16"/>
  <c r="G31" i="4"/>
  <c r="I52" i="12"/>
  <c r="E62" i="12" s="1"/>
  <c r="I50" i="12"/>
  <c r="Q44" i="5"/>
  <c r="G49" i="4"/>
  <c r="E46" i="11"/>
  <c r="H18" i="4" s="1"/>
  <c r="N50" i="11"/>
  <c r="P18" i="3" s="1"/>
  <c r="E47" i="11"/>
  <c r="I18" i="4" s="1"/>
  <c r="N52" i="11"/>
  <c r="K18" i="3"/>
  <c r="Q29" i="5"/>
  <c r="R48" i="4"/>
  <c r="N47" i="5"/>
  <c r="N44" i="5"/>
  <c r="E55" i="11"/>
  <c r="Q18" i="4" s="1"/>
  <c r="E54" i="11"/>
  <c r="P18" i="4" s="1"/>
  <c r="E53" i="11"/>
  <c r="N18" i="4" s="1"/>
  <c r="N42" i="11"/>
  <c r="E52" i="11"/>
  <c r="C38" i="11"/>
  <c r="R46" i="4"/>
  <c r="Q48" i="5"/>
  <c r="O45" i="3"/>
  <c r="R45" i="4"/>
  <c r="E64" i="8"/>
  <c r="W15" i="3" s="1"/>
  <c r="E61" i="8"/>
  <c r="V15" i="3" s="1"/>
  <c r="E65" i="8"/>
  <c r="E62" i="8"/>
  <c r="N25" i="17"/>
  <c r="L50" i="20"/>
  <c r="L52" i="20"/>
  <c r="O48" i="3"/>
  <c r="S20" i="5"/>
  <c r="S19" i="5"/>
  <c r="I19" i="5"/>
  <c r="I20" i="5"/>
  <c r="J19" i="5"/>
  <c r="J20" i="5"/>
  <c r="R20" i="5"/>
  <c r="R19" i="5"/>
  <c r="Q40" i="5"/>
  <c r="Q39" i="5"/>
  <c r="E46" i="8"/>
  <c r="H15" i="4" s="1"/>
  <c r="N50" i="8"/>
  <c r="P15" i="3" s="1"/>
  <c r="E47" i="8"/>
  <c r="I15" i="4" s="1"/>
  <c r="N52" i="8"/>
  <c r="K15" i="3"/>
  <c r="M50" i="17"/>
  <c r="M52" i="17"/>
  <c r="O46" i="3"/>
  <c r="J50" i="10"/>
  <c r="J52" i="10"/>
  <c r="E61" i="10" s="1"/>
  <c r="V17" i="3" s="1"/>
  <c r="M52" i="19"/>
  <c r="M50" i="19"/>
  <c r="I50" i="6"/>
  <c r="I52" i="6"/>
  <c r="E62" i="6" s="1"/>
  <c r="R48" i="5"/>
  <c r="M28" i="4"/>
  <c r="V27" i="5"/>
  <c r="J50" i="21"/>
  <c r="J52" i="21"/>
  <c r="O49" i="3"/>
  <c r="U31" i="3"/>
  <c r="U48" i="3"/>
  <c r="U30" i="3"/>
  <c r="U46" i="3"/>
  <c r="U45" i="3"/>
  <c r="U49" i="3"/>
  <c r="K50" i="14"/>
  <c r="K52" i="14"/>
  <c r="I52" i="15"/>
  <c r="I50" i="15"/>
  <c r="S48" i="5"/>
  <c r="Q20" i="5"/>
  <c r="Q19" i="5"/>
  <c r="K39" i="5"/>
  <c r="K40" i="5"/>
  <c r="Q30" i="5"/>
  <c r="R31" i="4"/>
  <c r="N50" i="13"/>
  <c r="P25" i="3" s="1"/>
  <c r="N52" i="13"/>
  <c r="E46" i="13"/>
  <c r="H25" i="4" s="1"/>
  <c r="E47" i="13"/>
  <c r="I25" i="4" s="1"/>
  <c r="K25" i="3"/>
  <c r="N50" i="10"/>
  <c r="P17" i="3" s="1"/>
  <c r="N52" i="10"/>
  <c r="E47" i="10"/>
  <c r="I17" i="4" s="1"/>
  <c r="E46" i="10"/>
  <c r="H17" i="4" s="1"/>
  <c r="K17" i="3"/>
  <c r="J50" i="11"/>
  <c r="J52" i="11"/>
  <c r="N42" i="8"/>
  <c r="E52" i="8"/>
  <c r="E55" i="8"/>
  <c r="Q15" i="4" s="1"/>
  <c r="E54" i="8"/>
  <c r="P15" i="4" s="1"/>
  <c r="E53" i="8"/>
  <c r="N15" i="4" s="1"/>
  <c r="C38" i="8"/>
  <c r="C37" i="8"/>
  <c r="M14" i="5" s="1"/>
  <c r="M19" i="5" s="1"/>
  <c r="L50" i="17"/>
  <c r="L52" i="17"/>
  <c r="Q45" i="5"/>
  <c r="I47" i="5"/>
  <c r="O47" i="5"/>
  <c r="M50" i="20"/>
  <c r="M52" i="20"/>
  <c r="I52" i="10"/>
  <c r="E62" i="10" s="1"/>
  <c r="I50" i="10"/>
  <c r="G48" i="4"/>
  <c r="E54" i="6"/>
  <c r="P11" i="4" s="1"/>
  <c r="E53" i="6"/>
  <c r="N11" i="4" s="1"/>
  <c r="C38" i="6"/>
  <c r="N42" i="6"/>
  <c r="E52" i="6"/>
  <c r="E55" i="6"/>
  <c r="Q11" i="4" s="1"/>
  <c r="I11" i="3"/>
  <c r="L50" i="9"/>
  <c r="L52" i="9"/>
  <c r="K48" i="5"/>
  <c r="N50" i="9"/>
  <c r="P16" i="3" s="1"/>
  <c r="E46" i="9"/>
  <c r="H16" i="4" s="1"/>
  <c r="N52" i="9"/>
  <c r="E47" i="9"/>
  <c r="I16" i="4" s="1"/>
  <c r="K16" i="3"/>
  <c r="J52" i="13"/>
  <c r="E61" i="13" s="1"/>
  <c r="V25" i="3" s="1"/>
  <c r="J50" i="13"/>
  <c r="J44" i="5"/>
  <c r="I40" i="5"/>
  <c r="I39" i="5"/>
  <c r="R49" i="4"/>
  <c r="N25" i="20"/>
  <c r="E52" i="7"/>
  <c r="E55" i="7"/>
  <c r="Q14" i="4" s="1"/>
  <c r="E54" i="7"/>
  <c r="P14" i="4" s="1"/>
  <c r="E53" i="7"/>
  <c r="N14" i="4" s="1"/>
  <c r="C38" i="7"/>
  <c r="N42" i="7"/>
  <c r="J50" i="18"/>
  <c r="J52" i="18"/>
  <c r="E55" i="13"/>
  <c r="Q25" i="4" s="1"/>
  <c r="E54" i="13"/>
  <c r="P25" i="4" s="1"/>
  <c r="E53" i="13"/>
  <c r="N25" i="4" s="1"/>
  <c r="C38" i="13"/>
  <c r="E52" i="13"/>
  <c r="N42" i="13"/>
  <c r="C37" i="13"/>
  <c r="M24" i="5" s="1"/>
  <c r="G46" i="4"/>
  <c r="K50" i="15"/>
  <c r="K52" i="15"/>
  <c r="E52" i="9"/>
  <c r="C38" i="9"/>
  <c r="E55" i="9"/>
  <c r="Q16" i="4" s="1"/>
  <c r="E54" i="9"/>
  <c r="P16" i="4" s="1"/>
  <c r="E53" i="9"/>
  <c r="N16" i="4" s="1"/>
  <c r="N42" i="9"/>
  <c r="C37" i="9"/>
  <c r="M15" i="5" s="1"/>
  <c r="J50" i="15"/>
  <c r="J52" i="15"/>
  <c r="K45" i="5"/>
  <c r="N52" i="14"/>
  <c r="E47" i="14"/>
  <c r="I26" i="4" s="1"/>
  <c r="I31" i="4" s="1"/>
  <c r="N50" i="14"/>
  <c r="P26" i="3" s="1"/>
  <c r="E46" i="14"/>
  <c r="H26" i="4" s="1"/>
  <c r="K26" i="3"/>
  <c r="M52" i="16"/>
  <c r="M50" i="16"/>
  <c r="E46" i="6"/>
  <c r="H11" i="4" s="1"/>
  <c r="N50" i="6"/>
  <c r="P11" i="3" s="1"/>
  <c r="N52" i="6"/>
  <c r="E47" i="6"/>
  <c r="I11" i="4" s="1"/>
  <c r="K11" i="3"/>
  <c r="I50" i="14"/>
  <c r="I52" i="14"/>
  <c r="K47" i="5"/>
  <c r="J52" i="16"/>
  <c r="E61" i="16" s="1"/>
  <c r="V28" i="3" s="1"/>
  <c r="J50" i="16"/>
  <c r="S44" i="5"/>
  <c r="M50" i="7"/>
  <c r="M52" i="7"/>
  <c r="N20" i="5"/>
  <c r="N19" i="5"/>
  <c r="N40" i="5"/>
  <c r="N39" i="5"/>
  <c r="I52" i="21"/>
  <c r="I50" i="21"/>
  <c r="K50" i="21"/>
  <c r="K52" i="21"/>
  <c r="I44" i="5"/>
  <c r="O44" i="5"/>
  <c r="I50" i="19"/>
  <c r="I52" i="19"/>
  <c r="E62" i="19" s="1"/>
  <c r="M50" i="15"/>
  <c r="M52" i="15"/>
  <c r="R44" i="5"/>
  <c r="J52" i="14"/>
  <c r="J50" i="14"/>
  <c r="K50" i="18"/>
  <c r="K52" i="18"/>
  <c r="K20" i="5"/>
  <c r="K19" i="5"/>
  <c r="J40" i="5"/>
  <c r="J39" i="5"/>
  <c r="I45" i="5"/>
  <c r="O21" i="3"/>
  <c r="O20" i="3"/>
  <c r="L50" i="6"/>
  <c r="L52" i="6"/>
  <c r="U27" i="5"/>
  <c r="N28" i="3"/>
  <c r="N50" i="20"/>
  <c r="P37" i="3" s="1"/>
  <c r="N52" i="20"/>
  <c r="E47" i="20"/>
  <c r="I37" i="4" s="1"/>
  <c r="E46" i="20"/>
  <c r="H37" i="4" s="1"/>
  <c r="K37" i="3"/>
  <c r="K50" i="7"/>
  <c r="K52" i="7"/>
  <c r="U35" i="5"/>
  <c r="N36" i="3"/>
  <c r="I48" i="5"/>
  <c r="E53" i="17"/>
  <c r="N34" i="4" s="1"/>
  <c r="C38" i="17"/>
  <c r="N42" i="17"/>
  <c r="E52" i="17"/>
  <c r="E54" i="17"/>
  <c r="P34" i="4" s="1"/>
  <c r="E55" i="17"/>
  <c r="Q34" i="4" s="1"/>
  <c r="M36" i="4"/>
  <c r="V35" i="5"/>
  <c r="L52" i="8"/>
  <c r="L50" i="8"/>
  <c r="O20" i="5"/>
  <c r="O19" i="5"/>
  <c r="R40" i="5"/>
  <c r="R39" i="5"/>
  <c r="C38" i="14"/>
  <c r="N42" i="14"/>
  <c r="E55" i="14"/>
  <c r="Q26" i="4" s="1"/>
  <c r="E54" i="14"/>
  <c r="P26" i="4" s="1"/>
  <c r="P31" i="4" s="1"/>
  <c r="E53" i="14"/>
  <c r="N26" i="4" s="1"/>
  <c r="E52" i="14"/>
  <c r="C37" i="14"/>
  <c r="M25" i="5" s="1"/>
  <c r="O48" i="5"/>
  <c r="G20" i="4"/>
  <c r="G21" i="4"/>
  <c r="O31" i="3"/>
  <c r="T21" i="3"/>
  <c r="T20" i="3"/>
  <c r="U23" i="5"/>
  <c r="N24" i="3"/>
  <c r="N25" i="7"/>
  <c r="N50" i="17"/>
  <c r="P34" i="3" s="1"/>
  <c r="N52" i="17"/>
  <c r="E47" i="17"/>
  <c r="I34" i="4" s="1"/>
  <c r="E46" i="17"/>
  <c r="H34" i="4" s="1"/>
  <c r="K34" i="3"/>
  <c r="S47" i="5"/>
  <c r="O40" i="5"/>
  <c r="O39" i="5"/>
  <c r="O40" i="3"/>
  <c r="O41" i="3"/>
  <c r="T41" i="3"/>
  <c r="K50" i="11"/>
  <c r="K52" i="11"/>
  <c r="G40" i="4"/>
  <c r="G41" i="4"/>
  <c r="S39" i="5"/>
  <c r="S40" i="5"/>
  <c r="E53" i="20"/>
  <c r="N37" i="4" s="1"/>
  <c r="C38" i="20"/>
  <c r="N42" i="20"/>
  <c r="E52" i="20"/>
  <c r="E55" i="20"/>
  <c r="Q37" i="4" s="1"/>
  <c r="E54" i="20"/>
  <c r="P37" i="4" s="1"/>
  <c r="C37" i="20"/>
  <c r="M36" i="5" s="1"/>
  <c r="E46" i="7"/>
  <c r="H14" i="4" s="1"/>
  <c r="N50" i="7"/>
  <c r="P14" i="3" s="1"/>
  <c r="N52" i="7"/>
  <c r="E47" i="7"/>
  <c r="I14" i="4" s="1"/>
  <c r="K14" i="3"/>
  <c r="C41" i="19"/>
  <c r="X35" i="5" s="1"/>
  <c r="C42" i="19"/>
  <c r="R20" i="4"/>
  <c r="R21" i="4"/>
  <c r="I50" i="9"/>
  <c r="I52" i="9"/>
  <c r="E62" i="9" s="1"/>
  <c r="H30" i="4"/>
  <c r="H31" i="4"/>
  <c r="M50" i="13"/>
  <c r="M52" i="13"/>
  <c r="R45" i="5"/>
  <c r="V23" i="5"/>
  <c r="M24" i="4"/>
  <c r="U40" i="3"/>
  <c r="U41" i="3"/>
  <c r="L50" i="7"/>
  <c r="L52" i="7"/>
  <c r="R40" i="4"/>
  <c r="R41" i="4"/>
  <c r="L52" i="19"/>
  <c r="L50" i="19"/>
  <c r="C37" i="17"/>
  <c r="M33" i="5" s="1"/>
  <c r="T48" i="3"/>
  <c r="T49" i="3"/>
  <c r="T46" i="3"/>
  <c r="T30" i="3"/>
  <c r="T45" i="3"/>
  <c r="T31" i="3"/>
  <c r="U21" i="3"/>
  <c r="U20" i="3"/>
  <c r="C42" i="12"/>
  <c r="C41" i="12"/>
  <c r="X23" i="5" s="1"/>
  <c r="E53" i="10"/>
  <c r="N17" i="4" s="1"/>
  <c r="C38" i="10"/>
  <c r="N42" i="10"/>
  <c r="E52" i="10"/>
  <c r="E55" i="10"/>
  <c r="Q17" i="4" s="1"/>
  <c r="E54" i="10"/>
  <c r="P17" i="4" s="1"/>
  <c r="C37" i="10"/>
  <c r="M16" i="5" s="1"/>
  <c r="R47" i="5"/>
  <c r="I52" i="18"/>
  <c r="I50" i="18"/>
  <c r="C41" i="16"/>
  <c r="X27" i="5" s="1"/>
  <c r="C42" i="16"/>
  <c r="P30" i="4" l="1"/>
  <c r="P49" i="3"/>
  <c r="E61" i="12"/>
  <c r="V24" i="3" s="1"/>
  <c r="E65" i="12"/>
  <c r="E64" i="12"/>
  <c r="W24" i="3" s="1"/>
  <c r="I30" i="4"/>
  <c r="P31" i="3"/>
  <c r="Q45" i="4"/>
  <c r="M20" i="5"/>
  <c r="P45" i="3"/>
  <c r="P49" i="4"/>
  <c r="N30" i="4"/>
  <c r="Q49" i="4"/>
  <c r="C42" i="11"/>
  <c r="C41" i="11"/>
  <c r="X17" i="5" s="1"/>
  <c r="Q31" i="4"/>
  <c r="H46" i="4"/>
  <c r="V17" i="5"/>
  <c r="M18" i="4"/>
  <c r="U17" i="5"/>
  <c r="N18" i="3"/>
  <c r="M44" i="5"/>
  <c r="N49" i="4"/>
  <c r="V36" i="5"/>
  <c r="M37" i="4"/>
  <c r="I41" i="4"/>
  <c r="I40" i="4"/>
  <c r="U33" i="5"/>
  <c r="N34" i="3"/>
  <c r="P48" i="3"/>
  <c r="E65" i="18"/>
  <c r="E64" i="18"/>
  <c r="W35" i="3" s="1"/>
  <c r="E62" i="18"/>
  <c r="E61" i="18"/>
  <c r="V35" i="3" s="1"/>
  <c r="M25" i="4"/>
  <c r="V24" i="5"/>
  <c r="M14" i="4"/>
  <c r="V13" i="5"/>
  <c r="C41" i="9"/>
  <c r="X15" i="5" s="1"/>
  <c r="C42" i="9"/>
  <c r="C41" i="10"/>
  <c r="X16" i="5" s="1"/>
  <c r="C42" i="10"/>
  <c r="P46" i="3"/>
  <c r="Q30" i="4"/>
  <c r="P30" i="3"/>
  <c r="N48" i="4"/>
  <c r="M15" i="4"/>
  <c r="V14" i="5"/>
  <c r="U14" i="5"/>
  <c r="N15" i="3"/>
  <c r="C41" i="17"/>
  <c r="X33" i="5" s="1"/>
  <c r="C42" i="17"/>
  <c r="I21" i="4"/>
  <c r="I20" i="4"/>
  <c r="E65" i="21"/>
  <c r="E64" i="21"/>
  <c r="W38" i="3" s="1"/>
  <c r="E62" i="21"/>
  <c r="E61" i="21"/>
  <c r="V38" i="3" s="1"/>
  <c r="E65" i="7"/>
  <c r="E64" i="7"/>
  <c r="W14" i="3" s="1"/>
  <c r="E62" i="7"/>
  <c r="E61" i="7"/>
  <c r="V14" i="3" s="1"/>
  <c r="Q48" i="4"/>
  <c r="P48" i="4"/>
  <c r="N45" i="4"/>
  <c r="V15" i="5"/>
  <c r="M16" i="4"/>
  <c r="C42" i="13"/>
  <c r="C41" i="13"/>
  <c r="X24" i="5" s="1"/>
  <c r="X30" i="5" s="1"/>
  <c r="U15" i="5"/>
  <c r="N16" i="3"/>
  <c r="P21" i="3"/>
  <c r="P20" i="3"/>
  <c r="M29" i="5"/>
  <c r="V25" i="5"/>
  <c r="M26" i="4"/>
  <c r="Q46" i="4"/>
  <c r="P46" i="4"/>
  <c r="N31" i="4"/>
  <c r="E64" i="15"/>
  <c r="W27" i="3" s="1"/>
  <c r="E62" i="15"/>
  <c r="E65" i="15"/>
  <c r="E61" i="15"/>
  <c r="V27" i="3" s="1"/>
  <c r="U13" i="5"/>
  <c r="N14" i="3"/>
  <c r="E62" i="14"/>
  <c r="E61" i="14"/>
  <c r="V26" i="3" s="1"/>
  <c r="E65" i="14"/>
  <c r="E64" i="14"/>
  <c r="W26" i="3" s="1"/>
  <c r="C41" i="8"/>
  <c r="X14" i="5" s="1"/>
  <c r="C42" i="8"/>
  <c r="N46" i="4"/>
  <c r="M47" i="5"/>
  <c r="U16" i="5"/>
  <c r="N17" i="3"/>
  <c r="H21" i="4"/>
  <c r="H20" i="4"/>
  <c r="M30" i="5"/>
  <c r="I49" i="4"/>
  <c r="P45" i="4"/>
  <c r="C41" i="14"/>
  <c r="X25" i="5" s="1"/>
  <c r="C42" i="14"/>
  <c r="V10" i="5"/>
  <c r="M11" i="4"/>
  <c r="N40" i="4"/>
  <c r="N41" i="4"/>
  <c r="H49" i="4"/>
  <c r="H48" i="4"/>
  <c r="H45" i="4"/>
  <c r="M45" i="5"/>
  <c r="I48" i="4"/>
  <c r="Q40" i="4"/>
  <c r="Q41" i="4"/>
  <c r="N21" i="4"/>
  <c r="N20" i="4"/>
  <c r="U10" i="5"/>
  <c r="N11" i="3"/>
  <c r="P41" i="3"/>
  <c r="P40" i="3"/>
  <c r="M17" i="4"/>
  <c r="V16" i="5"/>
  <c r="C42" i="7"/>
  <c r="C41" i="7"/>
  <c r="X13" i="5" s="1"/>
  <c r="M48" i="5"/>
  <c r="I46" i="4"/>
  <c r="P40" i="4"/>
  <c r="P41" i="4"/>
  <c r="P21" i="4"/>
  <c r="P20" i="4"/>
  <c r="N37" i="3"/>
  <c r="U36" i="5"/>
  <c r="M40" i="5"/>
  <c r="M39" i="5"/>
  <c r="E65" i="11"/>
  <c r="E64" i="11"/>
  <c r="W18" i="3" s="1"/>
  <c r="E62" i="11"/>
  <c r="E61" i="11"/>
  <c r="V18" i="3" s="1"/>
  <c r="H41" i="4"/>
  <c r="H40" i="4"/>
  <c r="I45" i="4"/>
  <c r="N26" i="3"/>
  <c r="N49" i="3" s="1"/>
  <c r="U25" i="5"/>
  <c r="M34" i="4"/>
  <c r="V33" i="5"/>
  <c r="C41" i="20"/>
  <c r="X36" i="5" s="1"/>
  <c r="C42" i="20"/>
  <c r="C41" i="6"/>
  <c r="X10" i="5" s="1"/>
  <c r="C42" i="6"/>
  <c r="U24" i="5"/>
  <c r="N25" i="3"/>
  <c r="Q20" i="4"/>
  <c r="Q21" i="4"/>
  <c r="N31" i="3" l="1"/>
  <c r="X29" i="5"/>
  <c r="M30" i="4"/>
  <c r="X44" i="5"/>
  <c r="U47" i="5"/>
  <c r="N30" i="3"/>
  <c r="M45" i="4"/>
  <c r="V47" i="5"/>
  <c r="M46" i="4"/>
  <c r="M48" i="4"/>
  <c r="M31" i="4"/>
  <c r="X45" i="5"/>
  <c r="M49" i="4"/>
  <c r="N45" i="3"/>
  <c r="N40" i="3"/>
  <c r="N41" i="3"/>
  <c r="N46" i="3"/>
  <c r="V21" i="3"/>
  <c r="V20" i="3"/>
  <c r="V20" i="5"/>
  <c r="V19" i="5"/>
  <c r="N48" i="3"/>
  <c r="M20" i="4"/>
  <c r="M21" i="4"/>
  <c r="X40" i="5"/>
  <c r="X39" i="5"/>
  <c r="X47" i="5"/>
  <c r="V39" i="5"/>
  <c r="V40" i="5"/>
  <c r="X48" i="5"/>
  <c r="W20" i="3"/>
  <c r="W21" i="3"/>
  <c r="W45" i="3"/>
  <c r="W48" i="3"/>
  <c r="W31" i="3"/>
  <c r="W30" i="3"/>
  <c r="W49" i="3"/>
  <c r="W46" i="3"/>
  <c r="V48" i="5"/>
  <c r="M40" i="4"/>
  <c r="M41" i="4"/>
  <c r="U44" i="5"/>
  <c r="U48" i="5"/>
  <c r="V40" i="3"/>
  <c r="V41" i="3"/>
  <c r="V29" i="5"/>
  <c r="V45" i="3"/>
  <c r="V30" i="3"/>
  <c r="V49" i="3"/>
  <c r="V48" i="3"/>
  <c r="V46" i="3"/>
  <c r="V31" i="3"/>
  <c r="V44" i="5"/>
  <c r="U39" i="5"/>
  <c r="U40" i="5"/>
  <c r="X19" i="5"/>
  <c r="X20" i="5"/>
  <c r="W40" i="3"/>
  <c r="W41" i="3"/>
  <c r="V45" i="5"/>
  <c r="U29" i="5"/>
  <c r="U30" i="5"/>
  <c r="U45" i="5"/>
  <c r="N20" i="3"/>
  <c r="N21" i="3"/>
  <c r="V30" i="5"/>
  <c r="U20" i="5"/>
  <c r="U19" i="5"/>
</calcChain>
</file>

<file path=xl/sharedStrings.xml><?xml version="1.0" encoding="utf-8"?>
<sst xmlns="http://schemas.openxmlformats.org/spreadsheetml/2006/main" count="3047" uniqueCount="282">
  <si>
    <t>HPG Comparable Analysis Summary</t>
  </si>
  <si>
    <t>Line item</t>
  </si>
  <si>
    <t>Method / context</t>
  </si>
  <si>
    <t>Output</t>
  </si>
  <si>
    <t>Assumptions and result</t>
  </si>
  <si>
    <t>Company</t>
  </si>
  <si>
    <t>Hoa Phat Group (HPG)</t>
  </si>
  <si>
    <t>Steel &amp; industrial materials</t>
  </si>
  <si>
    <t>Target company benchmarked against listed steel and materials peers.</t>
  </si>
  <si>
    <t>Current price</t>
  </si>
  <si>
    <t>Market input</t>
  </si>
  <si>
    <t>VND 23.6k/share</t>
  </si>
  <si>
    <t>Reference price used to convert target multiples into implied price.</t>
  </si>
  <si>
    <t>Comparable output</t>
  </si>
  <si>
    <t>P/E implied value</t>
  </si>
  <si>
    <t>VND 23.4k-26.1k/share</t>
  </si>
  <si>
    <t>Peer median P/E range of 10.5x-13.0x and EV/EBITDA around 7.1x.</t>
  </si>
  <si>
    <t>Result</t>
  </si>
  <si>
    <t>Public market check</t>
  </si>
  <si>
    <t>Mid-20k/share cross-check</t>
  </si>
  <si>
    <t>Comparable analysis is close to spot price and acts as a market-based valuation anchor.</t>
  </si>
  <si>
    <t>Important note</t>
  </si>
  <si>
    <t>Analytical use only</t>
  </si>
  <si>
    <t>Not investment advice</t>
  </si>
  <si>
    <t>Outputs are derived from the model workbook and source data available when compiled; users should refresh market data and assumptions before relying on the model.</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</si>
  <si>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</si>
  <si>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</si>
  <si>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</si>
  <si>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</si>
  <si>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</si>
  <si>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</si>
  <si>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</si>
  <si>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</si>
  <si>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</si>
  <si>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</si>
  <si>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</si>
  <si>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</si>
  <si>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</si>
  <si>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</si>
  <si>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</si>
  <si>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</si>
  <si>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</si>
  <si>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</si>
  <si>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</si>
  <si>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</si>
  <si>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</si>
  <si>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</si>
  <si>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</si>
  <si>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</si>
  <si>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</si>
  <si>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</si>
  <si>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</si>
  <si>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</si>
  <si>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</si>
  <si>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</si>
  <si>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</si>
  <si>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</si>
  <si>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</si>
  <si>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</si>
  <si>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</si>
  <si>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</si>
  <si>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</si>
  <si>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</si>
  <si>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</si>
  <si>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</si>
  <si>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</si>
  <si>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</si>
  <si>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</si>
  <si>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</si>
  <si>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</si>
  <si>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</si>
  <si>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</si>
  <si>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</si>
  <si>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</si>
  <si>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</si>
  <si>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</si>
  <si>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</si>
  <si>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</si>
  <si>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</si>
  <si>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</si>
  <si>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</si>
  <si>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</si>
  <si>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</si>
  <si>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</si>
  <si>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</si>
  <si>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</si>
  <si>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</si>
  <si>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</si>
  <si>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</si>
  <si>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</si>
  <si>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</si>
  <si>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</si>
  <si>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</si>
  <si>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</si>
  <si>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</si>
  <si>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</si>
  <si>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</si>
  <si>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</si>
  <si>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</si>
  <si>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</si>
  <si>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</si>
  <si>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</si>
  <si>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</si>
  <si>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</si>
  <si>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Công ty Cổ phần Tập đoàn Hoà Phát (HPG) là một trong những Tập đoàn sản xuất công nghiệp đa ngành tại Việt Nam. Khởi đầu từ một Công ty chuyên buôn bán các loại máy xây dựng từ tháng 8/1992, hiện tại Tập đoàn Hòa Phát hoạt động chủ yếu trong các lĩnh vực gang thép, sản phẩm thép, điện máy gia dụng, nông nghiệp và bất động sản. Trong đó, lĩnh vực Thép đóng vai trò chủ đạo và là mảng kinh doanh cốt lõi của tập đoàn với việc đóng góp hơn 90% doanh thu và lợi nhuận. HPG hiện là nhà sản xuất thép lớn nhất Việt Nam cũng như khu vực Đông Nam Á với công suất đạt 16 triệu tấn/ năm. Năm 2025, công ty tiếp tục củng cố vị thế thị phần số 1 cả nước về thép xây dựng với khoảng 37%, và là doanh nghiệp Việt Nam duy nhất sản xuất được Thép cuộn cán nóng HRC. HPG được niêm yết và giao dịch Sở Giao dịch Chứng khoán Thành phố Hồ Chí Minh (HOSE) từ năm 2007.</t>
  </si>
  <si>
    <t>General Information</t>
  </si>
  <si>
    <t>Reported Income Statement</t>
  </si>
  <si>
    <t>Balance Sheet Data</t>
  </si>
  <si>
    <t>Company Name</t>
  </si>
  <si>
    <t>Công ty Cổ phần Tập đoàn Hòa Phát</t>
  </si>
  <si>
    <t>Prior</t>
  </si>
  <si>
    <t xml:space="preserve">Current </t>
  </si>
  <si>
    <t>HPG</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</si>
  <si>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</si>
  <si>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</si>
  <si>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</si>
  <si>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</si>
  <si>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</si>
  <si>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</si>
  <si>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</si>
  <si>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</si>
  <si>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</si>
  <si>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</si>
  <si>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</si>
  <si>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</si>
  <si>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</si>
  <si>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</si>
  <si>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</si>
  <si>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</si>
  <si>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</si>
  <si>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</si>
  <si>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</si>
  <si>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</si>
  <si>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</si>
  <si>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</si>
  <si>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</si>
  <si>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</si>
  <si>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</si>
  <si>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</si>
  <si>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</si>
  <si>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</si>
  <si>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</si>
  <si>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</si>
  <si>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</si>
  <si>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</si>
  <si>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</si>
  <si>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</si>
  <si>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</si>
  <si>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</si>
  <si>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</si>
  <si>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</si>
  <si>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</si>
  <si>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</si>
  <si>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</si>
  <si>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</si>
  <si>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</si>
  <si>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</si>
  <si>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</si>
  <si>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</si>
  <si>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</si>
  <si>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</si>
  <si>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</si>
  <si>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</si>
  <si>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</si>
  <si>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</si>
  <si>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</si>
  <si>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</si>
  <si>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</si>
  <si>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</si>
  <si>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</si>
  <si>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</si>
  <si>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</si>
  <si>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</si>
  <si>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</si>
  <si>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</si>
  <si>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</si>
  <si>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</si>
  <si>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</si>
  <si>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</si>
  <si>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</si>
  <si>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</si>
  <si>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</si>
  <si>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</si>
  <si>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</si>
  <si>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</si>
  <si>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</si>
  <si>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</si>
  <si>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</si>
  <si>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</si>
  <si>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</si>
  <si>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</si>
  <si>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</si>
  <si>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</si>
  <si>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</si>
  <si>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</si>
  <si>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</si>
  <si>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</si>
  <si>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</si>
  <si>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</si>
  <si>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</si>
  <si>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</si>
  <si>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</si>
  <si>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</si>
  <si>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</si>
  <si>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</si>
  <si>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</si>
  <si>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</si>
  <si>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</si>
  <si>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</si>
  <si>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</si>
  <si>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</si>
  <si>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</si>
  <si>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</si>
  <si>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</si>
  <si>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</si>
  <si>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</si>
  <si>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</si>
  <si>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</si>
  <si>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</si>
  <si>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</si>
  <si>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</si>
  <si>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</si>
  <si>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</si>
  <si>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</si>
  <si>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</si>
  <si>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</si>
  <si>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</si>
  <si>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</si>
  <si>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</si>
  <si>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</si>
  <si>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</si>
  <si>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</si>
  <si>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</si>
  <si>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</si>
  <si>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</si>
  <si>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</si>
  <si>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</si>
  <si>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</si>
  <si>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</si>
  <si>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</si>
  <si>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</si>
  <si>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</si>
  <si>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</si>
  <si>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</si>
  <si>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</si>
  <si>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</si>
  <si>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</si>
  <si>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</si>
  <si>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t>
  </si>
  <si>
    <t>Công ty Cổ phần Tập đoàn Hoa Sen</t>
  </si>
  <si>
    <t>HSG</t>
  </si>
  <si>
    <t>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t>
  </si>
  <si>
    <t>Công ty Cổ phần Thép Nam Kim</t>
  </si>
  <si>
    <t>NKG</t>
  </si>
  <si>
    <t>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t>
  </si>
  <si>
    <t>Công ty Cổ phần Ống thép Việt - Đức VG PIPE</t>
  </si>
  <si>
    <t>VGS</t>
  </si>
  <si>
    <t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t>
  </si>
  <si>
    <t>Công ty Cổ phần Đầu tư Thương mại SMC</t>
  </si>
  <si>
    <t>SMC</t>
  </si>
  <si>
    <t>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t>
  </si>
  <si>
    <t>Công ty Cổ phần Tập đoàn Thép Tiến Lên</t>
  </si>
  <si>
    <t>TLH</t>
  </si>
  <si>
    <t>Sources - Hoa Phat Group (HPG)</t>
  </si>
  <si>
    <t>Category</t>
  </si>
  <si>
    <t>Primary source</t>
  </si>
  <si>
    <t>Usage in workbook</t>
  </si>
  <si>
    <t>Market data</t>
  </si>
  <si>
    <t>HoSE / SSI iBoard-style market inputs</t>
  </si>
  <si>
    <t>Share prices, shares outstanding, market capitalization, and trading reference points.</t>
  </si>
  <si>
    <t>Company financials</t>
  </si>
  <si>
    <t>Annual reports, quarterly reports, and company disclosures</t>
  </si>
  <si>
    <t>Historical income statement, balance sheet, cash flow, margins, and operating KPIs.</t>
  </si>
  <si>
    <t>Peer set / transaction set</t>
  </si>
  <si>
    <t>Listed peer companies and disclosed transaction comparables</t>
  </si>
  <si>
    <t>Comparable multiples, precedent premiums, and market-based valuation checks.</t>
  </si>
  <si>
    <t>Template</t>
  </si>
  <si>
    <t>SV- Comparable Companies_Template.xlsx; listed peer financials;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</si>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</sst>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69" x14ac:knownFonts="1">
    <font>
      <sz val="10"/>
      <color rgb="FF000000"/>
      <name val="Arial"/>
      <scheme val="minor"/>
    </font>
    <font>
      <i/>
      <sz val="10"/>
      <color theme="1"/>
      <name val="Arial"/>
    </font>
    <font>
      <sz val="10"/>
      <color theme="1"/>
      <name val="Arial"/>
    </font>
    <font>
      <b/>
      <u/>
      <sz val="12"/>
      <color rgb="FFFFFFFF"/>
      <name val="Arial"/>
    </font>
    <font>
      <b/>
      <sz val="10"/>
      <color theme="1"/>
      <name val="Arial"/>
    </font>
    <font>
      <b/>
      <u/>
      <sz val="10"/>
      <color theme="1"/>
      <name val="Arial"/>
    </font>
    <font>
      <b/>
      <u/>
      <sz val="10"/>
      <color theme="1"/>
      <name val="Arial"/>
    </font>
    <font>
      <b/>
      <sz val="20"/>
      <color rgb="FFFFFFFF"/>
      <name val="Arial"/>
    </font>
    <font>
      <sz val="10"/>
      <color rgb="FFFFFFFF"/>
      <name val="Arial"/>
    </font>
    <font>
      <b/>
      <sz val="14"/>
      <color rgb="FFFFFFFF"/>
      <name val="Arial"/>
    </font>
    <font>
      <i/>
      <sz val="10"/>
      <color rgb="FFFFFFFF"/>
      <name val="Arial"/>
    </font>
    <font>
      <i/>
      <sz val="9"/>
      <color rgb="FFFFFFFF"/>
      <name val="Arial"/>
    </font>
    <font>
      <b/>
      <u/>
      <sz val="10"/>
      <color rgb="FFFFFFFF"/>
      <name val="Arial"/>
    </font>
    <font>
      <b/>
      <u/>
      <sz val="10"/>
      <color theme="1"/>
      <name val="Arial"/>
    </font>
    <font>
      <b/>
      <u/>
      <sz val="10"/>
      <color theme="1"/>
      <name val="Arial"/>
    </font>
    <font>
      <b/>
      <u/>
      <sz val="10"/>
      <color rgb="FFFFFFFF"/>
      <name val="Arial"/>
    </font>
    <font>
      <sz val="9"/>
      <color theme="1"/>
      <name val="Arial"/>
    </font>
    <font>
      <b/>
      <sz val="9"/>
      <color theme="1"/>
      <name val="Arial"/>
    </font>
    <font>
      <b/>
      <sz val="10"/>
      <color rgb="FF993366"/>
      <name val="Arial"/>
    </font>
    <font>
      <i/>
      <sz val="9"/>
      <color theme="1"/>
      <name val="Arial"/>
    </font>
    <font>
      <b/>
      <sz val="10"/>
      <color rgb="FFFFFFFF"/>
      <name val="Arial"/>
    </font>
    <font>
      <b/>
      <sz val="16"/>
      <color rgb="FFFFFFFF"/>
      <name val="Arial"/>
    </font>
    <font>
      <sz val="14"/>
      <color rgb="FFFFFFFF"/>
      <name val="Arial"/>
    </font>
    <font>
      <b/>
      <sz val="10"/>
      <color rgb="FF993300"/>
      <name val="Arial"/>
    </font>
    <font>
      <b/>
      <u/>
      <sz val="10"/>
      <color theme="1"/>
      <name val="Arial"/>
    </font>
    <font>
      <b/>
      <u/>
      <sz val="10"/>
      <color theme="1"/>
      <name val="Arial"/>
    </font>
    <font>
      <b/>
      <u/>
      <sz val="10"/>
      <color theme="1"/>
      <name val="Arial"/>
    </font>
    <font>
      <b/>
      <u/>
      <sz val="10"/>
      <color theme="1"/>
      <name val="Arial"/>
    </font>
    <font>
      <sz val="10"/>
      <color rgb="FF0000FF"/>
      <name val="Arial"/>
    </font>
    <font>
      <b/>
      <u/>
      <sz val="10"/>
      <color theme="1"/>
      <name val="Arial"/>
    </font>
    <font>
      <b/>
      <u/>
      <sz val="10"/>
      <color theme="1"/>
      <name val="Arial"/>
    </font>
    <font>
      <b/>
      <u/>
      <sz val="10"/>
      <color theme="1"/>
      <name val="Arial"/>
    </font>
    <font>
      <b/>
      <u/>
      <sz val="10"/>
      <color rgb="FF0000FF"/>
      <name val="Arial"/>
    </font>
    <font>
      <b/>
      <u/>
      <sz val="10"/>
      <color rgb="FF0000FF"/>
      <name val="Arial"/>
    </font>
    <font>
      <u/>
      <sz val="10"/>
      <color rgb="FF0000FF"/>
      <name val="Arial"/>
    </font>
    <font>
      <u/>
      <sz val="10"/>
      <color rgb="FF0000FF"/>
      <name val="Arial"/>
    </font>
    <font>
      <u/>
      <sz val="10"/>
      <color theme="1"/>
      <name val="Arial"/>
    </font>
    <font>
      <u/>
      <sz val="10"/>
      <color rgb="FF0000FF"/>
      <name val="Arial"/>
    </font>
    <font>
      <u/>
      <sz val="10"/>
      <color rgb="FF0000FF"/>
      <name val="Arial"/>
    </font>
    <font>
      <u/>
      <sz val="10"/>
      <color theme="1"/>
      <name val="Arial"/>
    </font>
    <font>
      <b/>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i/>
      <u/>
      <sz val="10"/>
      <color theme="1"/>
      <name val="Arial"/>
    </font>
    <font>
      <b/>
      <u/>
      <sz val="10"/>
      <color theme="1"/>
      <name val="Arial"/>
    </font>
    <font>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u/>
      <sz val="10"/>
      <color theme="1"/>
      <name val="Arial"/>
    </font>
    <font>
      <u/>
      <sz val="10"/>
      <color rgb="FF0000FF"/>
      <name val="Arial"/>
    </font>
    <font>
      <u/>
      <sz val="10"/>
      <color rgb="FF0000FF"/>
      <name val="Arial"/>
    </font>
    <font>
      <u/>
      <sz val="10"/>
      <color theme="1"/>
      <name val="Arial"/>
    </font>
    <font>
      <b/>
      <u/>
      <sz val="10"/>
      <color theme="1"/>
      <name val="Arial"/>
    </font>
    <font>
      <u/>
      <sz val="10"/>
      <color rgb="FF0000FF"/>
      <name val="Arial"/>
    </font>
    <font>
      <u/>
      <sz val="10"/>
      <color theme="1"/>
      <name val="Arial"/>
    </font>
    <font>
      <sz val="10"/>
      <color rgb="FF0000FF"/>
      <name val="Arial"/>
    </font>
    <font>
      <b/>
      <sz val="16"/>
      <color rgb="FFFFFFFF"/>
      <name val="Aptos Display"/>
    </font>
    <font>
      <sz val="10"/>
      <color rgb="FF20242A"/>
      <name val="Aptos"/>
    </font>
    <font>
      <b/>
      <sz val="10"/>
      <color rgb="FFFFFFFF"/>
      <name val="Aptos"/>
    </font>
    <font>
      <b/>
      <sz val="10"/>
      <color rgb="FF20242A"/>
      <name val="Aptos"/>
    </font>
    <font>
      <b/>
      <sz val="10"/>
      <color rgb="FF1A1D21"/>
      <name val="Aptos"/>
    </font>
  </fonts>
  <fills count="15">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1A1D21"/>
      </patternFill>
    </fill>
    <fill>
      <patternFill patternType="solid">
        <fgColor rgb="FF2F3A45"/>
      </patternFill>
    </fill>
    <fill>
      <patternFill patternType="solid">
        <fgColor rgb="FFFFF8E5"/>
      </patternFill>
    </fill>
    <fill>
      <patternFill patternType="solid">
        <fgColor rgb="FFFFFFFF"/>
      </patternFill>
    </fill>
    <fill>
      <patternFill patternType="solid">
        <fgColor rgb="FFE7EEF8"/>
      </patternFill>
    </fill>
    <fill>
      <patternFill patternType="solid">
        <fgColor rgb="FFDCEFE2"/>
      </patternFill>
    </fill>
    <fill>
      <patternFill patternType="solid">
        <fgColor rgb="FFF6E6EA"/>
      </patternFill>
    </fill>
    <fill>
      <patternFill patternType="solid">
        <fgColor rgb="FFF4F6F8"/>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medium">
        <color rgb="FFD69E2E"/>
      </top>
      <bottom style="medium">
        <color rgb="FFD69E2E"/>
      </bottom>
      <diagonal/>
    </border>
    <border>
      <left style="thin">
        <color rgb="FFA7B0BA"/>
      </left>
      <right style="thin">
        <color rgb="FFA7B0BA"/>
      </right>
      <top style="thin">
        <color rgb="FFA7B0BA"/>
      </top>
      <bottom style="thin">
        <color rgb="FFA7B0BA"/>
      </bottom>
      <diagonal/>
    </border>
  </borders>
  <cellStyleXfs count="1">
    <xf numFmtId="0" fontId="0" fillId="0" borderId="1"/>
  </cellStyleXfs>
  <cellXfs count="276">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6" fillId="8" borderId="14" xfId="0" applyFont="1" applyFill="1" applyBorder="1" applyAlignment="1">
      <alignment horizontal="center" vertical="center" wrapText="1"/>
    </xf>
    <xf numFmtId="0" fontId="67" fillId="9" borderId="15" xfId="0" applyFont="1" applyFill="1" applyBorder="1" applyAlignment="1">
      <alignment vertical="top" wrapText="1"/>
    </xf>
    <xf numFmtId="0" fontId="65" fillId="9" borderId="15" xfId="0" applyFont="1" applyFill="1" applyBorder="1" applyAlignment="1">
      <alignment vertical="top" wrapText="1"/>
    </xf>
    <xf numFmtId="0" fontId="68" fillId="9" borderId="15" xfId="0" applyFont="1" applyFill="1" applyBorder="1" applyAlignment="1">
      <alignment vertical="top" wrapText="1"/>
    </xf>
    <xf numFmtId="0" fontId="67" fillId="10" borderId="15" xfId="0" applyFont="1" applyFill="1" applyBorder="1" applyAlignment="1">
      <alignment vertical="top" wrapText="1"/>
    </xf>
    <xf numFmtId="0" fontId="65" fillId="10" borderId="15" xfId="0" applyFont="1" applyFill="1" applyBorder="1" applyAlignment="1">
      <alignment vertical="top" wrapText="1"/>
    </xf>
    <xf numFmtId="0" fontId="68" fillId="10" borderId="15" xfId="0" applyFont="1" applyFill="1" applyBorder="1" applyAlignment="1">
      <alignment vertical="top" wrapText="1"/>
    </xf>
    <xf numFmtId="0" fontId="67" fillId="11" borderId="15" xfId="0" applyFont="1" applyFill="1" applyBorder="1" applyAlignment="1">
      <alignment vertical="top" wrapText="1"/>
    </xf>
    <xf numFmtId="0" fontId="65" fillId="11" borderId="15" xfId="0" applyFont="1" applyFill="1" applyBorder="1" applyAlignment="1">
      <alignment vertical="top" wrapText="1"/>
    </xf>
    <xf numFmtId="0" fontId="68" fillId="11" borderId="15" xfId="0" applyFont="1" applyFill="1" applyBorder="1" applyAlignment="1">
      <alignment vertical="top" wrapText="1"/>
    </xf>
    <xf numFmtId="0" fontId="67" fillId="12" borderId="15" xfId="0" applyFont="1" applyFill="1" applyBorder="1" applyAlignment="1">
      <alignment vertical="top" wrapText="1"/>
    </xf>
    <xf numFmtId="0" fontId="65" fillId="12" borderId="15" xfId="0" applyFont="1" applyFill="1" applyBorder="1" applyAlignment="1">
      <alignment vertical="top" wrapText="1"/>
    </xf>
    <xf numFmtId="0" fontId="68" fillId="12" borderId="15" xfId="0" applyFont="1" applyFill="1" applyBorder="1" applyAlignment="1">
      <alignment vertical="top" wrapText="1"/>
    </xf>
    <xf numFmtId="0" fontId="67" fillId="13" borderId="15" xfId="0" applyFont="1" applyFill="1" applyBorder="1" applyAlignment="1">
      <alignment vertical="top" wrapText="1"/>
    </xf>
    <xf numFmtId="0" fontId="65" fillId="13" borderId="15" xfId="0" applyFont="1" applyFill="1" applyBorder="1" applyAlignment="1">
      <alignment vertical="top" wrapText="1"/>
    </xf>
    <xf numFmtId="0" fontId="68" fillId="13" borderId="15"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7" fillId="14" borderId="15" xfId="0" applyFont="1" applyFill="1" applyBorder="1" applyAlignment="1">
      <alignment vertical="top" wrapText="1"/>
    </xf>
    <xf numFmtId="0" fontId="65" fillId="14" borderId="15" xfId="0" applyFont="1" applyFill="1" applyBorder="1" applyAlignment="1">
      <alignment vertical="top" wrapText="1"/>
    </xf>
    <xf numFmtId="0" fontId="64" fillId="7" borderId="14" xfId="0" applyFont="1" applyFill="1" applyBorder="1" applyAlignment="1">
      <alignment horizontal="left" vertical="center"/>
    </xf>
    <xf numFmtId="0" fontId="0" fillId="0" borderId="14" xfId="0" applyBorder="1"/>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31" fillId="6" borderId="1" xfId="0" applyFont="1" applyFill="1" applyAlignment="1">
      <alignment horizontal="center"/>
    </xf>
    <xf numFmtId="0" fontId="63" fillId="4" borderId="1"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 style="151" customWidth="1"/>
    <col min="2" max="2" width="28" style="151" customWidth="1"/>
    <col min="3" max="3" width="24" style="151" customWidth="1"/>
    <col min="4" max="4" width="80" style="151" customWidth="1"/>
  </cols>
  <sheetData>
    <row r="1" spans="1:4" ht="27.95" customHeight="1" x14ac:dyDescent="0.2">
      <c r="A1" s="266" t="s">
        <v>0</v>
      </c>
      <c r="B1" s="267"/>
      <c r="C1" s="267"/>
      <c r="D1" s="267"/>
    </row>
    <row r="3" spans="1:4" ht="13.5" x14ac:dyDescent="0.2">
      <c r="A3" s="153" t="s">
        <v>1</v>
      </c>
      <c r="B3" s="153" t="s">
        <v>2</v>
      </c>
      <c r="C3" s="153" t="s">
        <v>3</v>
      </c>
      <c r="D3" s="153" t="s">
        <v>4</v>
      </c>
    </row>
    <row r="4" spans="1:4" ht="27" x14ac:dyDescent="0.2">
      <c r="A4" s="154" t="s">
        <v>5</v>
      </c>
      <c r="B4" s="155" t="s">
        <v>6</v>
      </c>
      <c r="C4" s="156" t="s">
        <v>7</v>
      </c>
      <c r="D4" s="155" t="s">
        <v>8</v>
      </c>
    </row>
    <row r="5" spans="1:4" ht="13.5" x14ac:dyDescent="0.2">
      <c r="A5" s="157" t="s">
        <v>9</v>
      </c>
      <c r="B5" s="158" t="s">
        <v>10</v>
      </c>
      <c r="C5" s="159" t="s">
        <v>11</v>
      </c>
      <c r="D5" s="158" t="s">
        <v>12</v>
      </c>
    </row>
    <row r="6" spans="1:4" ht="13.5" x14ac:dyDescent="0.2">
      <c r="A6" s="160" t="s">
        <v>13</v>
      </c>
      <c r="B6" s="161" t="s">
        <v>14</v>
      </c>
      <c r="C6" s="162" t="s">
        <v>15</v>
      </c>
      <c r="D6" s="161" t="s">
        <v>16</v>
      </c>
    </row>
    <row r="7" spans="1:4" ht="27" x14ac:dyDescent="0.2">
      <c r="A7" s="163" t="s">
        <v>17</v>
      </c>
      <c r="B7" s="164" t="s">
        <v>18</v>
      </c>
      <c r="C7" s="165" t="s">
        <v>19</v>
      </c>
      <c r="D7" s="164" t="s">
        <v>20</v>
      </c>
    </row>
    <row r="8" spans="1:4" ht="13.5" x14ac:dyDescent="0.2">
      <c r="A8" s="154"/>
      <c r="B8" s="155"/>
      <c r="C8" s="156"/>
      <c r="D8" s="155"/>
    </row>
    <row r="9" spans="1:4" ht="27" x14ac:dyDescent="0.2">
      <c r="A9" s="166" t="s">
        <v>21</v>
      </c>
      <c r="B9" s="167" t="s">
        <v>22</v>
      </c>
      <c r="C9" s="168" t="s">
        <v>23</v>
      </c>
      <c r="D9" s="167" t="s">
        <v>24</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25</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8" t="s">
        <v>26</v>
      </c>
      <c r="B2" s="269"/>
      <c r="C2" s="269"/>
      <c r="D2" s="269"/>
      <c r="E2" s="269"/>
      <c r="F2" s="269"/>
      <c r="G2" s="2"/>
      <c r="H2" s="2"/>
      <c r="I2" s="2"/>
      <c r="J2" s="2"/>
      <c r="K2" s="2"/>
      <c r="L2" s="2"/>
      <c r="M2" s="2"/>
      <c r="N2" s="2"/>
      <c r="O2" s="2"/>
      <c r="P2" s="2"/>
      <c r="Q2" s="2"/>
      <c r="R2" s="2"/>
      <c r="S2" s="2"/>
      <c r="T2" s="2"/>
      <c r="U2" s="2"/>
      <c r="V2" s="2"/>
      <c r="W2" s="2"/>
      <c r="X2" s="2"/>
      <c r="Y2" s="2"/>
      <c r="Z2" s="2"/>
    </row>
    <row r="3" spans="1:26" ht="12.75" customHeight="1" x14ac:dyDescent="0.2">
      <c r="A3" s="3" t="s">
        <v>27</v>
      </c>
      <c r="B3" s="4"/>
      <c r="C3" s="4"/>
      <c r="D3" s="5" t="s">
        <v>28</v>
      </c>
      <c r="E3" s="5" t="s">
        <v>29</v>
      </c>
      <c r="F3" s="5" t="s">
        <v>30</v>
      </c>
      <c r="G3" s="2"/>
      <c r="H3" s="2"/>
      <c r="I3" s="2"/>
      <c r="J3" s="2"/>
      <c r="K3" s="2"/>
      <c r="L3" s="2"/>
      <c r="M3" s="2"/>
      <c r="N3" s="2"/>
      <c r="O3" s="2"/>
      <c r="P3" s="2"/>
      <c r="Q3" s="2"/>
      <c r="R3" s="2"/>
      <c r="S3" s="2"/>
      <c r="T3" s="2"/>
      <c r="U3" s="2"/>
      <c r="V3" s="2"/>
      <c r="W3" s="2"/>
      <c r="X3" s="2"/>
      <c r="Y3" s="2"/>
      <c r="Z3" s="2"/>
    </row>
    <row r="4" spans="1:26" ht="15" customHeight="1" x14ac:dyDescent="0.2">
      <c r="A4" s="6" t="s">
        <v>5</v>
      </c>
      <c r="B4" s="7" t="s">
        <v>31</v>
      </c>
      <c r="C4" s="7" t="s">
        <v>32</v>
      </c>
      <c r="D4" s="7" t="s">
        <v>33</v>
      </c>
      <c r="E4" s="7" t="s">
        <v>33</v>
      </c>
      <c r="F4" s="7" t="s">
        <v>34</v>
      </c>
      <c r="G4" s="2"/>
      <c r="H4" s="2"/>
      <c r="I4" s="2"/>
      <c r="J4" s="2"/>
      <c r="K4" s="2"/>
      <c r="L4" s="2"/>
      <c r="M4" s="2"/>
      <c r="N4" s="2"/>
      <c r="O4" s="2"/>
      <c r="P4" s="2"/>
      <c r="Q4" s="2"/>
      <c r="R4" s="2"/>
      <c r="S4" s="2"/>
      <c r="T4" s="2"/>
      <c r="U4" s="2"/>
      <c r="V4" s="2"/>
      <c r="W4" s="2"/>
      <c r="X4" s="2"/>
      <c r="Y4" s="2"/>
      <c r="Z4" s="2"/>
    </row>
    <row r="5" spans="1:26" ht="39.75" customHeight="1" x14ac:dyDescent="0.2">
      <c r="A5" s="8" t="str">
        <f>TargetCo!$E$7</f>
        <v>Công ty Cổ phần Tập đoàn Hòa Phát</v>
      </c>
      <c r="B5" s="8" t="str">
        <f>TargetCo!$E$8</f>
        <v>HPG</v>
      </c>
      <c r="C5" s="9" t="str">
        <f>TargetCo!$P$2</f>
        <v>Công ty Cổ phần Tập đoàn Hoà Phát (HPG) là một trong những Tập đoàn sản xuất công nghiệp đa ngành tại Việt Nam. Khởi đầu từ một Công ty chuyên buôn bán các loại máy xây dựng từ tháng 8/1992, hiện tại Tập đoàn Hòa Phát hoạt động chủ yếu trong các lĩnh vực gang thép, sản phẩm thép, điện máy gia dụng, nông nghiệp và bất động sản. Trong đó, lĩnh vực Thép đóng vai trò chủ đạo và là mảng kinh doanh cốt lõi của tập đoàn với việc đóng góp hơn 90% doanh thu và lợi nhuận. HPG hiện là nhà sản xuất thép lớn nhất Việt Nam cũng như khu vực Đông Nam Á với công suất đạt 16 triệu tấn/ năm. Năm 2025, công ty tiếp tục củng cố vị thế thị phần số 1 cả nước về thép xây dựng với khoảng 37%, và là doanh nghiệp Việt Nam duy nhất sản xuất được Thép cuộn cán nóng HRC. HPG được niêm yết và giao dịch Sở Giao dịch Chứng khoán Thành phố Hồ Chí Minh (HOSE) từ năm 2007.</v>
      </c>
      <c r="D5" s="10">
        <f>TargetCo!$E$24</f>
        <v>199253962.67199999</v>
      </c>
      <c r="E5" s="10">
        <f>TargetCo!$E$30</f>
        <v>283188981.23499995</v>
      </c>
      <c r="F5" s="10">
        <f>TargetCo!$N$10</f>
        <v>156116094.618</v>
      </c>
      <c r="G5" s="2"/>
      <c r="H5" s="2"/>
      <c r="I5" s="2"/>
      <c r="J5" s="2"/>
      <c r="K5" s="2"/>
      <c r="L5" s="2"/>
      <c r="M5" s="2"/>
      <c r="N5" s="2"/>
      <c r="O5" s="2"/>
      <c r="P5" s="2"/>
      <c r="Q5" s="2"/>
      <c r="R5" s="2"/>
      <c r="S5" s="2"/>
      <c r="T5" s="2"/>
      <c r="U5" s="2"/>
      <c r="V5" s="2"/>
      <c r="W5" s="2"/>
      <c r="X5" s="2"/>
      <c r="Y5" s="2"/>
      <c r="Z5" s="2"/>
    </row>
    <row r="6" spans="1:26" ht="39.75" customHeight="1" x14ac:dyDescent="0.2">
      <c r="A6" s="11" t="str">
        <f>'CompCo 1'!$E$7</f>
        <v>Công ty Cổ phần Tập đoàn Hoa Sen</v>
      </c>
      <c r="B6" s="11" t="str">
        <f>'CompCo 1'!$E$8</f>
        <v>HSG</v>
      </c>
      <c r="C6" s="12" t="str">
        <f>'CompCo 1'!$P$2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6" s="13">
        <f>'CompCo 1'!$E$24</f>
        <v>9566063.0424000006</v>
      </c>
      <c r="E6" s="13">
        <f>'CompCo 1'!$E$30</f>
        <v>13542091.097400002</v>
      </c>
      <c r="F6" s="13">
        <f>'CompCo 1'!$N$10</f>
        <v>36537815.078000002</v>
      </c>
      <c r="G6" s="2"/>
      <c r="H6" s="2"/>
      <c r="I6" s="2"/>
      <c r="J6" s="2"/>
      <c r="K6" s="2"/>
      <c r="L6" s="2"/>
      <c r="M6" s="2"/>
      <c r="N6" s="2"/>
      <c r="O6" s="2"/>
      <c r="P6" s="2"/>
      <c r="Q6" s="2"/>
      <c r="R6" s="2"/>
      <c r="S6" s="2"/>
      <c r="T6" s="2"/>
      <c r="U6" s="2"/>
      <c r="V6" s="2"/>
      <c r="W6" s="2"/>
      <c r="X6" s="2"/>
      <c r="Y6" s="2"/>
      <c r="Z6" s="2"/>
    </row>
    <row r="7" spans="1:26" ht="39.75" customHeight="1" x14ac:dyDescent="0.2">
      <c r="A7" s="14" t="str">
        <f>'CompCo 2'!$E$7</f>
        <v>Công ty Cổ phần Thép Nam Kim</v>
      </c>
      <c r="B7" s="14" t="str">
        <f>'CompCo 2'!$E$8</f>
        <v>NKG</v>
      </c>
      <c r="C7" s="15" t="str">
        <f>'CompCo 2'!$P$2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7" s="13">
        <f>'CompCo 2'!$E$24</f>
        <v>5975071.2613499993</v>
      </c>
      <c r="E7" s="13">
        <f>'CompCo 2'!$E$30</f>
        <v>12003296.56435</v>
      </c>
      <c r="F7" s="13">
        <f>'CompCo 2'!$N$10</f>
        <v>14808145.017000001</v>
      </c>
      <c r="G7" s="2"/>
      <c r="H7" s="2"/>
      <c r="I7" s="2"/>
      <c r="J7" s="2"/>
      <c r="K7" s="2"/>
      <c r="L7" s="2"/>
      <c r="M7" s="2"/>
      <c r="N7" s="2"/>
      <c r="O7" s="2"/>
      <c r="P7" s="2"/>
      <c r="Q7" s="2"/>
      <c r="R7" s="2"/>
      <c r="S7" s="2"/>
      <c r="T7" s="2"/>
      <c r="U7" s="2"/>
      <c r="V7" s="2"/>
      <c r="W7" s="2"/>
      <c r="X7" s="2"/>
      <c r="Y7" s="2"/>
      <c r="Z7" s="2"/>
    </row>
    <row r="8" spans="1:26" ht="39.75" customHeight="1" x14ac:dyDescent="0.2">
      <c r="A8" s="14" t="str">
        <f>'CompCo 3'!$E$7</f>
        <v>Công ty Cổ phần Ống thép Việt - Đức VG PIPE</v>
      </c>
      <c r="B8" s="14" t="str">
        <f>'CompCo 3'!$E$8</f>
        <v>VGS</v>
      </c>
      <c r="C8" s="15" t="str">
        <f>'CompCo 3'!$P$2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8" s="13">
        <f>'CompCo 3'!$E$24</f>
        <v>1304312.0859999999</v>
      </c>
      <c r="E8" s="13">
        <f>'CompCo 3'!$E$30</f>
        <v>1815924.8230000001</v>
      </c>
      <c r="F8" s="13">
        <f>'CompCo 3'!$N$10</f>
        <v>7318590.5640000002</v>
      </c>
      <c r="G8" s="2"/>
      <c r="H8" s="2"/>
      <c r="I8" s="2"/>
      <c r="J8" s="2"/>
      <c r="K8" s="2"/>
      <c r="L8" s="2"/>
      <c r="M8" s="2"/>
      <c r="N8" s="2"/>
      <c r="O8" s="2"/>
      <c r="P8" s="2"/>
      <c r="Q8" s="2"/>
      <c r="R8" s="2"/>
      <c r="S8" s="2"/>
      <c r="T8" s="2"/>
      <c r="U8" s="2"/>
      <c r="V8" s="2"/>
      <c r="W8" s="2"/>
      <c r="X8" s="2"/>
      <c r="Y8" s="2"/>
      <c r="Z8" s="2"/>
    </row>
    <row r="9" spans="1:26" ht="39.75" customHeight="1" x14ac:dyDescent="0.2">
      <c r="A9" s="14" t="str">
        <f>'CompCo 4'!$E$7</f>
        <v>Công ty Cổ phần Đầu tư Thương mại SMC</v>
      </c>
      <c r="B9" s="14" t="str">
        <f>'CompCo 4'!$E$8</f>
        <v>SMC</v>
      </c>
      <c r="C9" s="15" t="str">
        <f>'CompCo 4'!$P$2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9" s="13">
        <f>'CompCo 4'!$E$24</f>
        <v>787593.15590000001</v>
      </c>
      <c r="E9" s="13">
        <f>'CompCo 4'!$E$30</f>
        <v>2718909.0658999998</v>
      </c>
      <c r="F9" s="13">
        <f>'CompCo 4'!$N$10</f>
        <v>7010299.4939999999</v>
      </c>
      <c r="G9" s="2"/>
      <c r="H9" s="2"/>
      <c r="I9" s="2"/>
      <c r="J9" s="2"/>
      <c r="K9" s="2"/>
      <c r="L9" s="2"/>
      <c r="M9" s="2"/>
      <c r="N9" s="2"/>
      <c r="O9" s="2"/>
      <c r="P9" s="2"/>
      <c r="Q9" s="2"/>
      <c r="R9" s="2"/>
      <c r="S9" s="2"/>
      <c r="T9" s="2"/>
      <c r="U9" s="2"/>
      <c r="V9" s="2"/>
      <c r="W9" s="2"/>
      <c r="X9" s="2"/>
      <c r="Y9" s="2"/>
      <c r="Z9" s="2"/>
    </row>
    <row r="10" spans="1:26" ht="39.75" customHeight="1" x14ac:dyDescent="0.2">
      <c r="A10" s="14" t="str">
        <f>'CompCo 5'!$E$7</f>
        <v>Công ty Cổ phần Tập đoàn Thép Tiến Lên</v>
      </c>
      <c r="B10" s="14" t="str">
        <f>'CompCo 5'!$E$8</f>
        <v>TLH</v>
      </c>
      <c r="C10" s="15" t="str">
        <f>'CompCo 5'!$P$2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10" s="13">
        <f>'CompCo 5'!$E$24</f>
        <v>491961.67446000001</v>
      </c>
      <c r="E10" s="13">
        <f>'CompCo 5'!$E$30</f>
        <v>1740638.5934599997</v>
      </c>
      <c r="F10" s="13">
        <f>'CompCo 5'!$N$10</f>
        <v>5320344.78</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Công ty Cổ phần Tập đoàn Hoa Sen</v>
      </c>
      <c r="B11" s="14" t="str">
        <f>'CompCo 6'!$E$8</f>
        <v>HSG</v>
      </c>
      <c r="C11" s="15" t="str">
        <f>'CompCo 6'!$P$2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11" s="13">
        <f>'CompCo 6'!$E$24</f>
        <v>9566063.0424000006</v>
      </c>
      <c r="E11" s="13">
        <f>'CompCo 6'!$E$30</f>
        <v>13542091.097400002</v>
      </c>
      <c r="F11" s="13">
        <f>'CompCo 6'!$N$10</f>
        <v>36537815.078000002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Công ty Cổ phần Thép Nam Kim</v>
      </c>
      <c r="B12" s="14" t="str">
        <f>'CompCo 7'!$E$8</f>
        <v>NKG</v>
      </c>
      <c r="C12" s="15" t="str">
        <f>'CompCo 7'!$P$2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12" s="13">
        <f>'CompCo 7'!$E$24</f>
        <v>5975071.2613499993</v>
      </c>
      <c r="E12" s="13">
        <f>'CompCo 7'!$E$30</f>
        <v>12003296.56435</v>
      </c>
      <c r="F12" s="13">
        <f>'CompCo 7'!$N$10</f>
        <v>14808145.017000001</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Công ty Cổ phần Ống thép Việt - Đức VG PIPE</v>
      </c>
      <c r="B13" s="14" t="str">
        <f>'CompCo 8'!$E$8</f>
        <v>VGS</v>
      </c>
      <c r="C13" s="15" t="str">
        <f>'CompCo 8'!$P$2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13" s="13">
        <f>'CompCo 8'!$E$24</f>
        <v>1304312.0859999999</v>
      </c>
      <c r="E13" s="13">
        <f>'CompCo 8'!$E$30</f>
        <v>1815924.8230000001</v>
      </c>
      <c r="F13" s="13">
        <f>'CompCo 8'!$N$10</f>
        <v>7318590.5640000002</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Công ty Cổ phần Đầu tư Thương mại SMC</v>
      </c>
      <c r="B14" s="14" t="str">
        <f>'CompCo 9'!$E$8</f>
        <v>SMC</v>
      </c>
      <c r="C14" s="15" t="str">
        <f>'CompCo 9'!$P$2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14" s="13">
        <f>'CompCo 9'!$E$24</f>
        <v>787593.15590000001</v>
      </c>
      <c r="E14" s="13">
        <f>'CompCo 9'!$E$30</f>
        <v>2718909.0658999998</v>
      </c>
      <c r="F14" s="13">
        <f>'CompCo 9'!$N$10</f>
        <v>7010299.4939999999</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Công ty Cổ phần Tập đoàn Thép Tiến Lên</v>
      </c>
      <c r="B15" s="14" t="str">
        <f>'CompCo 10'!$E$8</f>
        <v>TLH</v>
      </c>
      <c r="C15" s="15" t="str">
        <f>'CompCo 10'!$P$2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15" s="13">
        <f>'CompCo 10'!$E$24</f>
        <v>491961.67446000001</v>
      </c>
      <c r="E15" s="13">
        <f>'CompCo 10'!$E$30</f>
        <v>1740638.5934599997</v>
      </c>
      <c r="F15" s="13">
        <f>'CompCo 10'!$N$10</f>
        <v>5320344.78</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Công ty Cổ phần Tập đoàn Hoa Sen</v>
      </c>
      <c r="B16" s="14" t="str">
        <f>'CompCo 11'!$E$8</f>
        <v>HSG</v>
      </c>
      <c r="C16" s="15" t="str">
        <f>'CompCo 11'!$P$2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16" s="13">
        <f>'CompCo 11'!$E$24</f>
        <v>9566063.0424000006</v>
      </c>
      <c r="E16" s="13">
        <f>'CompCo 11'!$E$30</f>
        <v>13542091.097400002</v>
      </c>
      <c r="F16" s="13">
        <f>'CompCo 11'!$N$10</f>
        <v>36537815.078000002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Công ty Cổ phần Thép Nam Kim</v>
      </c>
      <c r="B17" s="14" t="str">
        <f>'CompCo 12'!$E$8</f>
        <v>NKG</v>
      </c>
      <c r="C17" s="15" t="str">
        <f>'CompCo 12'!$P$2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17" s="13">
        <f>'CompCo 12'!$E$24</f>
        <v>5975071.2613499993</v>
      </c>
      <c r="E17" s="13">
        <f>'CompCo 12'!$E$30</f>
        <v>12003296.56435</v>
      </c>
      <c r="F17" s="13">
        <f>'CompCo 12'!$N$10</f>
        <v>14808145.017000001</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Công ty Cổ phần Ống thép Việt - Đức VG PIPE</v>
      </c>
      <c r="B18" s="14" t="str">
        <f>'CompCo 13'!$E$8</f>
        <v>VGS</v>
      </c>
      <c r="C18" s="15" t="str">
        <f>'CompCo 13'!$P$2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18" s="13">
        <f>'CompCo 13'!$E$24</f>
        <v>1304312.0859999999</v>
      </c>
      <c r="E18" s="13">
        <f>'CompCo 13'!$E$30</f>
        <v>1815924.8230000001</v>
      </c>
      <c r="F18" s="13">
        <f>'CompCo 13'!$N$10</f>
        <v>7318590.5640000002</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Công ty Cổ phần Đầu tư Thương mại SMC</v>
      </c>
      <c r="B19" s="14" t="str">
        <f>'CompCo 14'!$E$8</f>
        <v>SMC</v>
      </c>
      <c r="C19" s="15" t="str">
        <f>'CompCo 14'!$P$2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19" s="13">
        <f>'CompCo 14'!$E$24</f>
        <v>787593.15590000001</v>
      </c>
      <c r="E19" s="13">
        <f>'CompCo 14'!$E$30</f>
        <v>2718909.0658999998</v>
      </c>
      <c r="F19" s="13">
        <f>'CompCo 14'!$N$10</f>
        <v>7010299.4939999999</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Công ty Cổ phần Tập đoàn Thép Tiến Lên</v>
      </c>
      <c r="B20" s="11" t="str">
        <f>'CompCo 15'!$E$8</f>
        <v>TLH</v>
      </c>
      <c r="C20" s="12" t="str">
        <f>'CompCo 15'!$P$2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20" s="16">
        <f>'CompCo 15'!$E$24</f>
        <v>491961.67446000001</v>
      </c>
      <c r="E20" s="16">
        <f>'CompCo 15'!$E$30</f>
        <v>1740638.5934599997</v>
      </c>
      <c r="F20" s="16">
        <f>'CompCo 15'!$N$10</f>
        <v>5320344.78</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25</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35</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27</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70" t="s">
        <v>36</v>
      </c>
      <c r="E6" s="269"/>
      <c r="F6" s="27"/>
      <c r="G6" s="270" t="s">
        <v>37</v>
      </c>
      <c r="H6" s="269"/>
      <c r="I6" s="269"/>
      <c r="J6" s="269"/>
      <c r="K6" s="269"/>
      <c r="L6" s="2"/>
      <c r="M6" s="270" t="s">
        <v>38</v>
      </c>
      <c r="N6" s="269"/>
      <c r="O6" s="269"/>
      <c r="P6" s="269"/>
      <c r="Q6" s="2"/>
      <c r="R6" s="270" t="s">
        <v>39</v>
      </c>
      <c r="S6" s="269"/>
      <c r="T6" s="269"/>
      <c r="U6" s="269"/>
      <c r="V6" s="269"/>
      <c r="W6" s="269"/>
      <c r="X6" s="269"/>
      <c r="Y6" s="2"/>
      <c r="Z6" s="2"/>
    </row>
    <row r="7" spans="1:26" ht="15" customHeight="1" x14ac:dyDescent="0.2">
      <c r="A7" s="28"/>
      <c r="B7" s="28"/>
      <c r="C7" s="28"/>
      <c r="D7" s="28"/>
      <c r="E7" s="28"/>
      <c r="F7" s="28"/>
      <c r="G7" s="28"/>
      <c r="H7" s="28"/>
      <c r="I7" s="28"/>
      <c r="J7" s="28"/>
      <c r="K7" s="28"/>
      <c r="L7" s="28"/>
      <c r="M7" s="27" t="s">
        <v>40</v>
      </c>
      <c r="N7" s="28"/>
      <c r="O7" s="28"/>
      <c r="P7" s="27" t="s">
        <v>41</v>
      </c>
      <c r="Q7" s="27"/>
      <c r="R7" s="272" t="s">
        <v>34</v>
      </c>
      <c r="S7" s="269"/>
      <c r="T7" s="272" t="s">
        <v>42</v>
      </c>
      <c r="U7" s="269"/>
      <c r="V7" s="272" t="s">
        <v>43</v>
      </c>
      <c r="W7" s="269"/>
      <c r="X7" s="269"/>
      <c r="Y7" s="28"/>
      <c r="Z7" s="28"/>
    </row>
    <row r="8" spans="1:26" ht="12.75" customHeight="1" x14ac:dyDescent="0.2">
      <c r="A8" s="28"/>
      <c r="B8" s="28"/>
      <c r="C8" s="28"/>
      <c r="D8" s="27" t="s">
        <v>44</v>
      </c>
      <c r="E8" s="27" t="s">
        <v>29</v>
      </c>
      <c r="F8" s="27"/>
      <c r="G8" s="27"/>
      <c r="H8" s="27" t="s">
        <v>40</v>
      </c>
      <c r="I8" s="27"/>
      <c r="J8" s="27"/>
      <c r="K8" s="27" t="s">
        <v>41</v>
      </c>
      <c r="L8" s="27"/>
      <c r="M8" s="27" t="s">
        <v>45</v>
      </c>
      <c r="N8" s="27" t="s">
        <v>42</v>
      </c>
      <c r="O8" s="27" t="s">
        <v>46</v>
      </c>
      <c r="P8" s="27" t="s">
        <v>47</v>
      </c>
      <c r="Q8" s="27"/>
      <c r="R8" s="27" t="s">
        <v>48</v>
      </c>
      <c r="S8" s="27" t="s">
        <v>49</v>
      </c>
      <c r="T8" s="27" t="s">
        <v>48</v>
      </c>
      <c r="U8" s="27" t="s">
        <v>49</v>
      </c>
      <c r="V8" s="27" t="s">
        <v>48</v>
      </c>
      <c r="W8" s="27" t="s">
        <v>49</v>
      </c>
      <c r="X8" s="27" t="s">
        <v>49</v>
      </c>
      <c r="Y8" s="28"/>
      <c r="Z8" s="28"/>
    </row>
    <row r="9" spans="1:26" ht="15" customHeight="1" x14ac:dyDescent="0.2">
      <c r="A9" s="28"/>
      <c r="B9" s="29" t="s">
        <v>5</v>
      </c>
      <c r="C9" s="152" t="s">
        <v>31</v>
      </c>
      <c r="D9" s="152" t="s">
        <v>33</v>
      </c>
      <c r="E9" s="152" t="s">
        <v>33</v>
      </c>
      <c r="F9" s="152"/>
      <c r="G9" s="152" t="s">
        <v>34</v>
      </c>
      <c r="H9" s="152" t="s">
        <v>45</v>
      </c>
      <c r="I9" s="152" t="s">
        <v>42</v>
      </c>
      <c r="J9" s="152" t="s">
        <v>46</v>
      </c>
      <c r="K9" s="152" t="s">
        <v>47</v>
      </c>
      <c r="L9" s="152"/>
      <c r="M9" s="152" t="s">
        <v>50</v>
      </c>
      <c r="N9" s="152" t="s">
        <v>50</v>
      </c>
      <c r="O9" s="152" t="s">
        <v>50</v>
      </c>
      <c r="P9" s="152" t="s">
        <v>50</v>
      </c>
      <c r="Q9" s="152"/>
      <c r="R9" s="152" t="s">
        <v>51</v>
      </c>
      <c r="S9" s="152" t="s">
        <v>51</v>
      </c>
      <c r="T9" s="152" t="s">
        <v>51</v>
      </c>
      <c r="U9" s="152" t="s">
        <v>51</v>
      </c>
      <c r="V9" s="152" t="s">
        <v>51</v>
      </c>
      <c r="W9" s="152" t="s">
        <v>51</v>
      </c>
      <c r="X9" s="152" t="s">
        <v>52</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Tập đoàn Hòa Phát</v>
      </c>
      <c r="C11" s="28" t="str">
        <f>TargetCo!$E$8</f>
        <v>HPG</v>
      </c>
      <c r="D11" s="31">
        <f>TargetCo!$E$24</f>
        <v>199253962.67199999</v>
      </c>
      <c r="E11" s="31">
        <f>TargetCo!$E$30</f>
        <v>283188981.23499995</v>
      </c>
      <c r="F11" s="31"/>
      <c r="G11" s="31">
        <f>TargetCo!$N$10</f>
        <v>156116094.618</v>
      </c>
      <c r="H11" s="31">
        <f>TargetCo!$N$31</f>
        <v>24497788.182999998</v>
      </c>
      <c r="I11" s="31">
        <f>TargetCo!$N$41</f>
        <v>29626131.106999993</v>
      </c>
      <c r="J11" s="31">
        <f>TargetCo!$N$37</f>
        <v>21155447.846999995</v>
      </c>
      <c r="K11" s="31">
        <f>TargetCo!$N$49</f>
        <v>15453174.006999996</v>
      </c>
      <c r="L11" s="32"/>
      <c r="M11" s="33">
        <f>TargetCo!$N$32</f>
        <v>0.15692032421733046</v>
      </c>
      <c r="N11" s="33">
        <f>TargetCo!$N$42</f>
        <v>0.18976987080987442</v>
      </c>
      <c r="O11" s="33">
        <f>TargetCo!$N$38</f>
        <v>0.13551099839363262</v>
      </c>
      <c r="P11" s="33">
        <f>TargetCo!$N$50</f>
        <v>9.898514336277961E-2</v>
      </c>
      <c r="Q11" s="33"/>
      <c r="R11" s="33">
        <f>TargetCo!$C$61</f>
        <v>0.1243093050165518</v>
      </c>
      <c r="S11" s="33">
        <f>TargetCo!$C$64</f>
        <v>0.13389377814084602</v>
      </c>
      <c r="T11" s="33">
        <f>TargetCo!$D$61</f>
        <v>0.29391333146085818</v>
      </c>
      <c r="U11" s="33">
        <f>TargetCo!$D$64</f>
        <v>0.13389377814084602</v>
      </c>
      <c r="V11" s="33">
        <f>TargetCo!$E$61</f>
        <v>0.28546738803608673</v>
      </c>
      <c r="W11" s="33">
        <f>TargetCo!$E$64</f>
        <v>0.22229694654922505</v>
      </c>
      <c r="X11" s="33">
        <f>TargetCo!$E$66</f>
        <v>0.10979289807549381</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269"/>
      <c r="W13" s="269"/>
      <c r="X13" s="269"/>
      <c r="Y13" s="30"/>
      <c r="Z13" s="2"/>
    </row>
    <row r="14" spans="1:26" ht="12.75" customHeight="1" x14ac:dyDescent="0.2">
      <c r="A14" s="2"/>
      <c r="B14" s="2" t="str">
        <f>'CompCo 1'!$E$7</f>
        <v>Công ty Cổ phần Tập đoàn Hoa Sen</v>
      </c>
      <c r="C14" s="2" t="str">
        <f>'CompCo 1'!$E$8</f>
        <v>HSG</v>
      </c>
      <c r="D14" s="38">
        <f>'CompCo 1'!$E$24</f>
        <v>9566063.0424000006</v>
      </c>
      <c r="E14" s="38">
        <f>'CompCo 1'!$E$30</f>
        <v>13542091.097400002</v>
      </c>
      <c r="F14" s="38"/>
      <c r="G14" s="38">
        <f>'CompCo 1'!$N$10</f>
        <v>36537815.078000002</v>
      </c>
      <c r="H14" s="38">
        <f>'CompCo 1'!$N$31</f>
        <v>4520040.8480000012</v>
      </c>
      <c r="I14" s="38">
        <f>'CompCo 1'!$N$40</f>
        <v>903060.62</v>
      </c>
      <c r="J14" s="38">
        <f>'CompCo 1'!$N$37</f>
        <v>1010388.2720000008</v>
      </c>
      <c r="K14" s="38">
        <f>'CompCo 1'!$N$49</f>
        <v>735018.77500000084</v>
      </c>
      <c r="L14" s="36"/>
      <c r="M14" s="39">
        <f>'CompCo 1'!$N$32</f>
        <v>0.12370856982966093</v>
      </c>
      <c r="N14" s="39">
        <f>'CompCo 1'!$N$42</f>
        <v>5.2369001482853277E-2</v>
      </c>
      <c r="O14" s="39">
        <f>'CompCo 1'!$N$38</f>
        <v>2.765322091217139E-2</v>
      </c>
      <c r="P14" s="39">
        <f>'CompCo 1'!$N$50</f>
        <v>2.0116659231836972E-2</v>
      </c>
      <c r="Q14" s="39"/>
      <c r="R14" s="39">
        <f>'CompCo 1'!$C$61</f>
        <v>-6.9619221274131338E-2</v>
      </c>
      <c r="S14" s="39">
        <f>'CompCo 1'!$C$64</f>
        <v>-4.7951025902319699E-3</v>
      </c>
      <c r="T14" s="39">
        <f>'CompCo 1'!$D$61</f>
        <v>0.14305461902008298</v>
      </c>
      <c r="U14" s="39">
        <f>'CompCo 1'!$D$64</f>
        <v>-4.7951020701220148E-3</v>
      </c>
      <c r="V14" s="39">
        <f>'CompCo 1'!$E$61</f>
        <v>0.42823369809840761</v>
      </c>
      <c r="W14" s="39">
        <f>'CompCo 1'!$E$64</f>
        <v>0.24276617646928389</v>
      </c>
      <c r="X14" s="39">
        <f>'CompCo 1'!$E$66</f>
        <v>0.02</v>
      </c>
      <c r="Y14" s="40"/>
      <c r="Z14" s="2"/>
    </row>
    <row r="15" spans="1:26" ht="12.75" customHeight="1" x14ac:dyDescent="0.2">
      <c r="A15" s="2"/>
      <c r="B15" s="2" t="str">
        <f>'CompCo 2'!$E$7</f>
        <v>Công ty Cổ phần Thép Nam Kim</v>
      </c>
      <c r="C15" s="2" t="str">
        <f>'CompCo 2'!$E$8</f>
        <v>NKG</v>
      </c>
      <c r="D15" s="41">
        <f>'CompCo 2'!$E$24</f>
        <v>5975071.2613499993</v>
      </c>
      <c r="E15" s="41">
        <f>'CompCo 2'!$E$30</f>
        <v>12003296.56435</v>
      </c>
      <c r="F15" s="41"/>
      <c r="G15" s="41">
        <f>'CompCo 2'!$N$10</f>
        <v>14808145.017000001</v>
      </c>
      <c r="H15" s="41">
        <f>'CompCo 2'!$N$31</f>
        <v>785173.58700000122</v>
      </c>
      <c r="I15" s="41">
        <f>'CompCo 2'!$N$40</f>
        <v>362151.28600000002</v>
      </c>
      <c r="J15" s="41">
        <f>'CompCo 2'!$N$37</f>
        <v>460484.8390000012</v>
      </c>
      <c r="K15" s="41">
        <f>'CompCo 2'!$N$49</f>
        <v>197122.28100000121</v>
      </c>
      <c r="L15" s="36"/>
      <c r="M15" s="39">
        <f>'CompCo 2'!$N$32</f>
        <v>5.3023088718985985E-2</v>
      </c>
      <c r="N15" s="39">
        <f>'CompCo 2'!$N$42</f>
        <v>5.5552949005807345E-2</v>
      </c>
      <c r="O15" s="39">
        <f>'CompCo 2'!$N$38</f>
        <v>3.1096726731900372E-2</v>
      </c>
      <c r="P15" s="39">
        <f>'CompCo 2'!$N$50</f>
        <v>1.3311747067151321E-2</v>
      </c>
      <c r="Q15" s="39"/>
      <c r="R15" s="39">
        <f>'CompCo 2'!$C$61</f>
        <v>-0.28147270256299339</v>
      </c>
      <c r="S15" s="39">
        <f>'CompCo 2'!$C$64</f>
        <v>-3.0000000000000027E-2</v>
      </c>
      <c r="T15" s="39">
        <f>'CompCo 2'!$D$61</f>
        <v>-0.27596425011406134</v>
      </c>
      <c r="U15" s="39">
        <f>'CompCo 2'!$D$64</f>
        <v>-2.9999998820865459E-2</v>
      </c>
      <c r="V15" s="39">
        <f>'CompCo 2'!$E$61</f>
        <v>-0.56485929974804083</v>
      </c>
      <c r="W15" s="39">
        <f>'CompCo 2'!$E$64</f>
        <v>-4.5114328519829661E-3</v>
      </c>
      <c r="X15" s="39">
        <f>'CompCo 2'!$E$66</f>
        <v>0.02</v>
      </c>
      <c r="Y15" s="40"/>
      <c r="Z15" s="2"/>
    </row>
    <row r="16" spans="1:26" ht="12.75" customHeight="1" x14ac:dyDescent="0.2">
      <c r="A16" s="2"/>
      <c r="B16" s="2" t="str">
        <f>'CompCo 3'!$E$7</f>
        <v>Công ty Cổ phần Ống thép Việt - Đức VG PIPE</v>
      </c>
      <c r="C16" s="2" t="str">
        <f>'CompCo 3'!$E$8</f>
        <v>VGS</v>
      </c>
      <c r="D16" s="41">
        <f>'CompCo 3'!$E$24</f>
        <v>1304312.0859999999</v>
      </c>
      <c r="E16" s="41">
        <f>'CompCo 3'!$E$30</f>
        <v>1815924.8230000001</v>
      </c>
      <c r="F16" s="41"/>
      <c r="G16" s="41">
        <f>'CompCo 3'!$N$10</f>
        <v>7318590.5640000002</v>
      </c>
      <c r="H16" s="41">
        <f>'CompCo 3'!$N$31</f>
        <v>285679.58100000024</v>
      </c>
      <c r="I16" s="41">
        <f>'CompCo 3'!$N$40</f>
        <v>12008.565000000001</v>
      </c>
      <c r="J16" s="41">
        <f>'CompCo 3'!$N$37</f>
        <v>272038.16900000023</v>
      </c>
      <c r="K16" s="41">
        <f>'CompCo 3'!$N$49</f>
        <v>217018.03400000022</v>
      </c>
      <c r="L16" s="36"/>
      <c r="M16" s="39">
        <f>'CompCo 3'!$N$32</f>
        <v>3.9034781151066483E-2</v>
      </c>
      <c r="N16" s="39">
        <f>'CompCo 3'!$N$42</f>
        <v>3.8811671662194139E-2</v>
      </c>
      <c r="O16" s="39">
        <f>'CompCo 3'!$N$38</f>
        <v>3.7170841382786257E-2</v>
      </c>
      <c r="P16" s="39">
        <f>'CompCo 3'!$N$50</f>
        <v>2.9652981964520268E-2</v>
      </c>
      <c r="Q16" s="39"/>
      <c r="R16" s="39">
        <f>'CompCo 3'!$C$61</f>
        <v>-4.4732668913161078E-4</v>
      </c>
      <c r="S16" s="39">
        <f>'CompCo 3'!$C$64</f>
        <v>-7.3629525030632914E-3</v>
      </c>
      <c r="T16" s="39">
        <f>'CompCo 3'!$D$61</f>
        <v>0.68756165307515205</v>
      </c>
      <c r="U16" s="39">
        <f>'CompCo 3'!$D$64</f>
        <v>-7.3629525030641796E-3</v>
      </c>
      <c r="V16" s="39">
        <f>'CompCo 3'!$E$61</f>
        <v>0.97550238335480421</v>
      </c>
      <c r="W16" s="39">
        <f>'CompCo 3'!$E$64</f>
        <v>-3.419913060029256E-2</v>
      </c>
      <c r="X16" s="39">
        <f>'CompCo 3'!$E$66</f>
        <v>0.02</v>
      </c>
      <c r="Y16" s="40"/>
      <c r="Z16" s="2"/>
    </row>
    <row r="17" spans="1:26" ht="12.75" customHeight="1" x14ac:dyDescent="0.2">
      <c r="A17" s="2"/>
      <c r="B17" s="2" t="str">
        <f>'CompCo 4'!$E$7</f>
        <v>Công ty Cổ phần Đầu tư Thương mại SMC</v>
      </c>
      <c r="C17" s="2" t="str">
        <f>'CompCo 4'!$E$8</f>
        <v>SMC</v>
      </c>
      <c r="D17" s="41">
        <f>'CompCo 4'!$E$24</f>
        <v>787593.15590000001</v>
      </c>
      <c r="E17" s="41">
        <f>'CompCo 4'!$E$30</f>
        <v>2718909.0658999998</v>
      </c>
      <c r="F17" s="41"/>
      <c r="G17" s="41">
        <f>'CompCo 4'!$N$10</f>
        <v>7010299.4939999999</v>
      </c>
      <c r="H17" s="41">
        <f>'CompCo 4'!$N$31</f>
        <v>1357.4529999997467</v>
      </c>
      <c r="I17" s="41">
        <f>'CompCo 4'!$N$40</f>
        <v>89937.751000000004</v>
      </c>
      <c r="J17" s="41">
        <f>'CompCo 4'!$N$37</f>
        <v>396981.87199999974</v>
      </c>
      <c r="K17" s="41">
        <f>'CompCo 4'!$N$49</f>
        <v>180117.14499999973</v>
      </c>
      <c r="L17" s="36"/>
      <c r="M17" s="39">
        <f>'CompCo 4'!$N$32</f>
        <v>1.936369482019375E-4</v>
      </c>
      <c r="N17" s="39">
        <f>'CompCo 4'!$N$42</f>
        <v>6.9457749047204934E-2</v>
      </c>
      <c r="O17" s="39">
        <f>'CompCo 4'!$N$38</f>
        <v>5.6628375483782113E-2</v>
      </c>
      <c r="P17" s="39">
        <f>'CompCo 4'!$N$50</f>
        <v>2.5693216838190584E-2</v>
      </c>
      <c r="Q17" s="39"/>
      <c r="R17" s="39">
        <f>'CompCo 4'!$C$61</f>
        <v>-0.21495402284278164</v>
      </c>
      <c r="S17" s="39">
        <f>'CompCo 4'!$C$64</f>
        <v>-3.0000000000000027E-2</v>
      </c>
      <c r="T17" s="39">
        <f>'CompCo 4'!$D$61</f>
        <v>0.45041631287694694</v>
      </c>
      <c r="U17" s="39">
        <f>'CompCo 4'!$D$64</f>
        <v>-2.9999999999999694E-2</v>
      </c>
      <c r="V17" s="39">
        <f>'CompCo 4'!$E$61</f>
        <v>5.1600015307905434</v>
      </c>
      <c r="W17" s="39">
        <f>'CompCo 4'!$E$64</f>
        <v>-3.0006542493052124E-2</v>
      </c>
      <c r="X17" s="39">
        <f>'CompCo 4'!$E$66</f>
        <v>0.02</v>
      </c>
      <c r="Y17" s="40"/>
      <c r="Z17" s="2"/>
    </row>
    <row r="18" spans="1:26" ht="12.75" customHeight="1" x14ac:dyDescent="0.2">
      <c r="A18" s="2"/>
      <c r="B18" s="2" t="str">
        <f>'CompCo 5'!$E$7</f>
        <v>Công ty Cổ phần Tập đoàn Thép Tiến Lên</v>
      </c>
      <c r="C18" s="2" t="str">
        <f>'CompCo 5'!$E$8</f>
        <v>TLH</v>
      </c>
      <c r="D18" s="41">
        <f>'CompCo 5'!$E$24</f>
        <v>491961.67446000001</v>
      </c>
      <c r="E18" s="41">
        <f>'CompCo 5'!$E$30</f>
        <v>1740638.5934599997</v>
      </c>
      <c r="F18" s="41"/>
      <c r="G18" s="41">
        <f>'CompCo 5'!$N$10</f>
        <v>5320344.78</v>
      </c>
      <c r="H18" s="41">
        <f>'CompCo 5'!$N$31</f>
        <v>180095.17100000009</v>
      </c>
      <c r="I18" s="41">
        <f>'CompCo 5'!$N$40</f>
        <v>28006.962</v>
      </c>
      <c r="J18" s="41">
        <f>'CompCo 5'!$N$37</f>
        <v>96182.815000000075</v>
      </c>
      <c r="K18" s="41">
        <f>'CompCo 5'!$N$49</f>
        <v>5105.4870000000728</v>
      </c>
      <c r="L18" s="36"/>
      <c r="M18" s="39">
        <f>'CompCo 5'!$N$32</f>
        <v>3.3850281973643086E-2</v>
      </c>
      <c r="N18" s="39">
        <f>'CompCo 5'!$N$42</f>
        <v>2.3342430262574085E-2</v>
      </c>
      <c r="O18" s="39">
        <f>'CompCo 5'!$N$38</f>
        <v>1.8078304880083367E-2</v>
      </c>
      <c r="P18" s="39">
        <f>'CompCo 5'!$N$50</f>
        <v>9.5961581647723069E-4</v>
      </c>
      <c r="Q18" s="39"/>
      <c r="R18" s="39">
        <f>'CompCo 5'!$C$61</f>
        <v>-0.15617858767102999</v>
      </c>
      <c r="S18" s="39">
        <f>'CompCo 5'!$C$64</f>
        <v>-3.0000000000000138E-2</v>
      </c>
      <c r="T18" s="39">
        <f>'CompCo 5'!$D$61</f>
        <v>-1.2813994908447854</v>
      </c>
      <c r="U18" s="39">
        <f>'CompCo 5'!$D$64</f>
        <v>-3.0000007810627283E-2</v>
      </c>
      <c r="V18" s="39">
        <f>'CompCo 5'!$E$61</f>
        <v>-1.0087133726589526</v>
      </c>
      <c r="W18" s="39">
        <f>'CompCo 5'!$E$64</f>
        <v>-3.9705959088735199E-2</v>
      </c>
      <c r="X18" s="39">
        <f>'CompCo 5'!$E$66</f>
        <v>0.02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54</v>
      </c>
      <c r="C20" s="43"/>
      <c r="D20" s="3"/>
      <c r="E20" s="44"/>
      <c r="F20" s="43"/>
      <c r="G20" s="43"/>
      <c r="H20" s="3"/>
      <c r="I20" s="44"/>
      <c r="J20" s="44"/>
      <c r="K20" s="44"/>
      <c r="L20" s="44"/>
      <c r="M20" s="45">
        <f>IF(ISERROR(AVERAGE(M14:M18)),"NA",AVERAGE(M14:M18))</f>
        <v>4.9962071724311684E-2</v>
      </c>
      <c r="N20" s="45">
        <f>IF(ISERROR(AVERAGE(N14:N18)),"NA",AVERAGE(N14:N18))</f>
        <v>4.790676029212676E-2</v>
      </c>
      <c r="O20" s="45">
        <f>IF(ISERROR(AVERAGE(O14:O18)),"NA",AVERAGE(O14:O18))</f>
        <v>3.4125493878144696E-2</v>
      </c>
      <c r="P20" s="45">
        <f>IF(ISERROR(AVERAGE(P14:P18)),"NA",AVERAGE(P14:P18))</f>
        <v>1.7946844183635277E-2</v>
      </c>
      <c r="Q20" s="45"/>
      <c r="R20" s="45">
        <f t="shared" ref="R20:X20" si="0">+AVERAGE(R14:R18)</f>
        <v>-0.1445343722080136</v>
      </c>
      <c r="S20" s="45">
        <f t="shared" si="0"/>
        <v>-2.043161101865909E-2</v>
      </c>
      <c r="T20" s="45">
        <f t="shared" si="0"/>
        <v>-5.5266231197332961E-2</v>
      </c>
      <c r="U20" s="45">
        <f t="shared" si="0"/>
        <v>-2.0431612240935725E-2</v>
      </c>
      <c r="V20" s="45">
        <f t="shared" si="0"/>
        <v>0.99803298796735229</v>
      </c>
      <c r="W20" s="45">
        <f t="shared" si="0"/>
        <v>2.686862228704421E-2</v>
      </c>
      <c r="X20" s="45">
        <f t="shared" si="0"/>
        <v>0.02</v>
      </c>
      <c r="Y20" s="40"/>
      <c r="Z20" s="2"/>
    </row>
    <row r="21" spans="1:26" ht="12.75" customHeight="1" x14ac:dyDescent="0.2">
      <c r="A21" s="2"/>
      <c r="B21" s="42" t="s">
        <v>55</v>
      </c>
      <c r="C21" s="43"/>
      <c r="D21" s="3"/>
      <c r="E21" s="44"/>
      <c r="F21" s="43"/>
      <c r="G21" s="43"/>
      <c r="H21" s="3"/>
      <c r="I21" s="44"/>
      <c r="J21" s="44"/>
      <c r="K21" s="44"/>
      <c r="L21" s="44"/>
      <c r="M21" s="45">
        <f>IF(ISERROR(MEDIAN(M14:M18)),"NA",MEDIAN(M14:M18))</f>
        <v>3.9034781151066483E-2</v>
      </c>
      <c r="N21" s="45">
        <f>IF(ISERROR(MEDIAN(N14:N18)),"NA",MEDIAN(N14:N18))</f>
        <v>5.2369001482853277E-2</v>
      </c>
      <c r="O21" s="45">
        <f>IF(ISERROR(MEDIAN(O14:O18)),"NA",MEDIAN(O14:O18))</f>
        <v>3.1096726731900372E-2</v>
      </c>
      <c r="P21" s="45">
        <f>IF(ISERROR(MEDIAN(P14:P18)),"NA",MEDIAN(P14:P18))</f>
        <v>2.0116659231836972E-2</v>
      </c>
      <c r="Q21" s="45"/>
      <c r="R21" s="45">
        <f t="shared" ref="R21:X21" si="1">MEDIAN(R14:R18)</f>
        <v>-0.15617858767102999</v>
      </c>
      <c r="S21" s="45">
        <f t="shared" si="1"/>
        <v>-3.0000000000000027E-2</v>
      </c>
      <c r="T21" s="45">
        <f t="shared" si="1"/>
        <v>0.14305461902008298</v>
      </c>
      <c r="U21" s="45">
        <f t="shared" si="1"/>
        <v>-2.9999998820865459E-2</v>
      </c>
      <c r="V21" s="45">
        <f t="shared" si="1"/>
        <v>0.42823369809840761</v>
      </c>
      <c r="W21" s="45">
        <f t="shared" si="1"/>
        <v>-3.0006542493052124E-2</v>
      </c>
      <c r="X21" s="45">
        <f t="shared" si="1"/>
        <v>0.02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69"/>
      <c r="W23" s="269"/>
      <c r="X23" s="269"/>
      <c r="Y23" s="30"/>
      <c r="Z23" s="2"/>
    </row>
    <row r="24" spans="1:26" ht="12.75" customHeight="1" x14ac:dyDescent="0.2">
      <c r="A24" s="2"/>
      <c r="B24" s="2" t="str">
        <f>'CompCo 6'!$E$7</f>
        <v>Công ty Cổ phần Tập đoàn Hoa Sen</v>
      </c>
      <c r="C24" s="2" t="str">
        <f>'CompCo 6'!$E$8</f>
        <v>HSG</v>
      </c>
      <c r="D24" s="38">
        <f>'CompCo 6'!$E$24</f>
        <v>9566063.0424000006</v>
      </c>
      <c r="E24" s="38">
        <f>'CompCo 6'!$E$30</f>
        <v>13542091.097400002</v>
      </c>
      <c r="F24" s="38"/>
      <c r="G24" s="38">
        <f>'CompCo 6'!$N$10</f>
        <v>36537815.078000002</v>
      </c>
      <c r="H24" s="38">
        <f>'CompCo 6'!$N$31</f>
        <v>4520040.8480000012</v>
      </c>
      <c r="I24" s="38">
        <f>'CompCo 6'!$N$40</f>
        <v>903060.62</v>
      </c>
      <c r="J24" s="38">
        <f>'CompCo 6'!$N$37</f>
        <v>1010388.2720000008</v>
      </c>
      <c r="K24" s="38">
        <f>'CompCo 6'!$N$49</f>
        <v>735018.77500000084</v>
      </c>
      <c r="L24" s="36"/>
      <c r="M24" s="39">
        <f>'CompCo 6'!$N$32</f>
        <v>0.12370856982966093</v>
      </c>
      <c r="N24" s="39">
        <f>'CompCo 6'!$N$42</f>
        <v>5.2369001482853277E-2</v>
      </c>
      <c r="O24" s="39">
        <f>'CompCo 6'!$N$38</f>
        <v>2.765322091217139E-2</v>
      </c>
      <c r="P24" s="39">
        <f>'CompCo 6'!$N$50</f>
        <v>2.0116659231836972E-2</v>
      </c>
      <c r="Q24" s="39"/>
      <c r="R24" s="39">
        <f>'CompCo 6'!$C$61</f>
        <v>-6.9619221274131338E-2</v>
      </c>
      <c r="S24" s="39">
        <f>'CompCo 6'!$C$64</f>
        <v>-4.7951025902319699E-3</v>
      </c>
      <c r="T24" s="39">
        <f>'CompCo 6'!$D$61</f>
        <v>0.14305461902008298</v>
      </c>
      <c r="U24" s="39">
        <f>'CompCo 6'!$D$64</f>
        <v>-4.7951020701220148E-3</v>
      </c>
      <c r="V24" s="39">
        <f>'CompCo 6'!$E$61</f>
        <v>0.42823369809840761</v>
      </c>
      <c r="W24" s="39">
        <f>'CompCo 6'!$E$64</f>
        <v>0.24276617646928389</v>
      </c>
      <c r="X24" s="39">
        <f>'CompCo 6'!$E$66</f>
        <v>0.02</v>
      </c>
      <c r="Y24" s="30"/>
      <c r="Z24" s="2"/>
    </row>
    <row r="25" spans="1:26" ht="12.75" customHeight="1" x14ac:dyDescent="0.2">
      <c r="A25" s="2"/>
      <c r="B25" s="2" t="str">
        <f>'CompCo 7'!$E$7</f>
        <v>Công ty Cổ phần Thép Nam Kim</v>
      </c>
      <c r="C25" s="2" t="str">
        <f>'CompCo 7'!$E$8</f>
        <v>NKG</v>
      </c>
      <c r="D25" s="41">
        <f>'CompCo 7'!$E$24</f>
        <v>5975071.2613499993</v>
      </c>
      <c r="E25" s="41">
        <f>'CompCo 7'!$E$30</f>
        <v>12003296.56435</v>
      </c>
      <c r="F25" s="41"/>
      <c r="G25" s="41">
        <f>'CompCo 7'!$N$10</f>
        <v>14808145.017000001</v>
      </c>
      <c r="H25" s="41">
        <f>'CompCo 7'!$N$31</f>
        <v>785173.58700000122</v>
      </c>
      <c r="I25" s="41">
        <f>'CompCo 7'!$N$40</f>
        <v>362151.28600000002</v>
      </c>
      <c r="J25" s="41">
        <f>'CompCo 7'!$N$37</f>
        <v>460484.8390000012</v>
      </c>
      <c r="K25" s="41">
        <f>'CompCo 7'!$N$49</f>
        <v>197122.28100000121</v>
      </c>
      <c r="L25" s="36"/>
      <c r="M25" s="39">
        <f>'CompCo 7'!$N$32</f>
        <v>5.3023088718985985E-2</v>
      </c>
      <c r="N25" s="39">
        <f>'CompCo 7'!$N$42</f>
        <v>5.5552949005807345E-2</v>
      </c>
      <c r="O25" s="39">
        <f>'CompCo 7'!$N$38</f>
        <v>3.1096726731900372E-2</v>
      </c>
      <c r="P25" s="39">
        <f>'CompCo 7'!$N$50</f>
        <v>1.3311747067151321E-2</v>
      </c>
      <c r="Q25" s="39"/>
      <c r="R25" s="39">
        <f>'CompCo 7'!$C$61</f>
        <v>-0.28147270256299339</v>
      </c>
      <c r="S25" s="39">
        <f>'CompCo 7'!$C$64</f>
        <v>-3.0000000000000027E-2</v>
      </c>
      <c r="T25" s="39">
        <f>'CompCo 7'!$D$61</f>
        <v>-0.27596425011406134</v>
      </c>
      <c r="U25" s="39">
        <f>'CompCo 7'!$D$64</f>
        <v>-2.9999998820865459E-2</v>
      </c>
      <c r="V25" s="39">
        <f>'CompCo 7'!$E$61</f>
        <v>-0.56485929974804083</v>
      </c>
      <c r="W25" s="39">
        <f>'CompCo 7'!$E$64</f>
        <v>-4.5114328519829661E-3</v>
      </c>
      <c r="X25" s="39">
        <f>'CompCo 7'!$E$66</f>
        <v>0.02</v>
      </c>
      <c r="Y25" s="2"/>
      <c r="Z25" s="2"/>
    </row>
    <row r="26" spans="1:26" ht="12.75" customHeight="1" x14ac:dyDescent="0.2">
      <c r="A26" s="2"/>
      <c r="B26" s="2" t="str">
        <f>'CompCo 8'!$E$7</f>
        <v>Công ty Cổ phần Ống thép Việt - Đức VG PIPE</v>
      </c>
      <c r="C26" s="2" t="str">
        <f>'CompCo 8'!$E$8</f>
        <v>VGS</v>
      </c>
      <c r="D26" s="41">
        <f>'CompCo 8'!$E$24</f>
        <v>1304312.0859999999</v>
      </c>
      <c r="E26" s="41">
        <f>'CompCo 8'!$E$30</f>
        <v>1815924.8230000001</v>
      </c>
      <c r="F26" s="41"/>
      <c r="G26" s="41">
        <f>'CompCo 8'!$N$10</f>
        <v>7318590.5640000002</v>
      </c>
      <c r="H26" s="41">
        <f>'CompCo 8'!$N$31</f>
        <v>285679.58100000024</v>
      </c>
      <c r="I26" s="41">
        <f>'CompCo 8'!$N$40</f>
        <v>12008.565000000001</v>
      </c>
      <c r="J26" s="41">
        <f>'CompCo 8'!$N$37</f>
        <v>272038.16900000023</v>
      </c>
      <c r="K26" s="41">
        <f>'CompCo 8'!$N$49</f>
        <v>217018.03400000022</v>
      </c>
      <c r="L26" s="36"/>
      <c r="M26" s="39">
        <f>'CompCo 8'!$N$32</f>
        <v>3.9034781151066483E-2</v>
      </c>
      <c r="N26" s="39">
        <f>'CompCo 8'!$N$42</f>
        <v>3.8811671662194139E-2</v>
      </c>
      <c r="O26" s="39">
        <f>'CompCo 8'!$N$38</f>
        <v>3.7170841382786257E-2</v>
      </c>
      <c r="P26" s="39">
        <f>'CompCo 8'!$N$50</f>
        <v>2.9652981964520268E-2</v>
      </c>
      <c r="Q26" s="39"/>
      <c r="R26" s="39">
        <f>'CompCo 8'!$C$61</f>
        <v>-4.4732668913161078E-4</v>
      </c>
      <c r="S26" s="39">
        <f>'CompCo 8'!$C$64</f>
        <v>-7.3629525030632914E-3</v>
      </c>
      <c r="T26" s="39">
        <f>'CompCo 8'!$D$61</f>
        <v>0.68756165307515205</v>
      </c>
      <c r="U26" s="39">
        <f>'CompCo 8'!$D$64</f>
        <v>-7.3629525030641796E-3</v>
      </c>
      <c r="V26" s="39">
        <f>'CompCo 8'!$E$61</f>
        <v>0.97550238335480421</v>
      </c>
      <c r="W26" s="39">
        <f>'CompCo 8'!$E$64</f>
        <v>-3.419913060029256E-2</v>
      </c>
      <c r="X26" s="39">
        <f>'CompCo 8'!$E$66</f>
        <v>0.02</v>
      </c>
      <c r="Y26" s="2"/>
      <c r="Z26" s="2"/>
    </row>
    <row r="27" spans="1:26" ht="12.75" customHeight="1" x14ac:dyDescent="0.2">
      <c r="A27" s="2"/>
      <c r="B27" s="2" t="str">
        <f>'CompCo 9'!$E$7</f>
        <v>Công ty Cổ phần Đầu tư Thương mại SMC</v>
      </c>
      <c r="C27" s="2" t="str">
        <f>'CompCo 9'!$E$8</f>
        <v>SMC</v>
      </c>
      <c r="D27" s="41">
        <f>'CompCo 9'!$E$24</f>
        <v>787593.15590000001</v>
      </c>
      <c r="E27" s="41">
        <f>'CompCo 9'!$E$30</f>
        <v>2718909.0658999998</v>
      </c>
      <c r="F27" s="41"/>
      <c r="G27" s="41">
        <f>'CompCo 9'!$N$10</f>
        <v>7010299.4939999999</v>
      </c>
      <c r="H27" s="41">
        <f>'CompCo 9'!$N$31</f>
        <v>1357.4529999997467</v>
      </c>
      <c r="I27" s="41">
        <f>'CompCo 9'!$N$40</f>
        <v>89937.751000000004</v>
      </c>
      <c r="J27" s="41">
        <f>'CompCo 9'!$N$37</f>
        <v>396981.87199999974</v>
      </c>
      <c r="K27" s="41">
        <f>'CompCo 9'!$N$49</f>
        <v>180117.14499999973</v>
      </c>
      <c r="L27" s="36"/>
      <c r="M27" s="39">
        <f>'CompCo 9'!$N$32</f>
        <v>1.936369482019375E-4</v>
      </c>
      <c r="N27" s="39">
        <f>'CompCo 9'!$N$42</f>
        <v>6.9457749047204934E-2</v>
      </c>
      <c r="O27" s="39">
        <f>'CompCo 9'!$N$38</f>
        <v>5.6628375483782113E-2</v>
      </c>
      <c r="P27" s="39">
        <f>'CompCo 9'!$N$50</f>
        <v>2.5693216838190584E-2</v>
      </c>
      <c r="Q27" s="39"/>
      <c r="R27" s="39">
        <f>'CompCo 9'!$C$61</f>
        <v>-0.21495402284278164</v>
      </c>
      <c r="S27" s="39">
        <f>'CompCo 9'!$C$64</f>
        <v>-3.0000000000000027E-2</v>
      </c>
      <c r="T27" s="39">
        <f>'CompCo 9'!$D$61</f>
        <v>0.45041631287694694</v>
      </c>
      <c r="U27" s="39">
        <f>'CompCo 9'!$D$64</f>
        <v>-2.9999999999999694E-2</v>
      </c>
      <c r="V27" s="39">
        <f>'CompCo 9'!$E$61</f>
        <v>5.1600015307905434</v>
      </c>
      <c r="W27" s="39">
        <f>'CompCo 9'!$E$64</f>
        <v>-3.0006542493052124E-2</v>
      </c>
      <c r="X27" s="39">
        <f>'CompCo 9'!$E$66</f>
        <v>0.02</v>
      </c>
      <c r="Y27" s="2"/>
      <c r="Z27" s="2"/>
    </row>
    <row r="28" spans="1:26" ht="12.75" customHeight="1" x14ac:dyDescent="0.2">
      <c r="A28" s="2"/>
      <c r="B28" s="2" t="str">
        <f>'CompCo 10'!$E$7</f>
        <v>Công ty Cổ phần Tập đoàn Thép Tiến Lên</v>
      </c>
      <c r="C28" s="2" t="str">
        <f>'CompCo 10'!$E$8</f>
        <v>TLH</v>
      </c>
      <c r="D28" s="41">
        <f>'CompCo 10'!$E$24</f>
        <v>491961.67446000001</v>
      </c>
      <c r="E28" s="41">
        <f>'CompCo 10'!$E$30</f>
        <v>1740638.5934599997</v>
      </c>
      <c r="F28" s="41"/>
      <c r="G28" s="41">
        <f>'CompCo 10'!$N$10</f>
        <v>5320344.78</v>
      </c>
      <c r="H28" s="41">
        <f>'CompCo 10'!$N$31</f>
        <v>180095.17100000009</v>
      </c>
      <c r="I28" s="41">
        <f>'CompCo 10'!$N$40</f>
        <v>28006.962</v>
      </c>
      <c r="J28" s="41">
        <f>'CompCo 10'!$N$37</f>
        <v>96182.815000000075</v>
      </c>
      <c r="K28" s="41">
        <f>'CompCo 10'!$N$49</f>
        <v>5105.4870000000728</v>
      </c>
      <c r="L28" s="36"/>
      <c r="M28" s="39">
        <f>'CompCo 10'!$N$32</f>
        <v>3.3850281973643086E-2</v>
      </c>
      <c r="N28" s="39">
        <f>'CompCo 10'!$N$42</f>
        <v>2.3342430262574085E-2</v>
      </c>
      <c r="O28" s="39">
        <f>'CompCo 10'!$N$38</f>
        <v>1.8078304880083367E-2</v>
      </c>
      <c r="P28" s="39">
        <f>'CompCo 10'!$N$50</f>
        <v>9.5961581647723069E-4</v>
      </c>
      <c r="Q28" s="39"/>
      <c r="R28" s="39">
        <f>'CompCo 10'!$C$61</f>
        <v>-0.15617858767102999</v>
      </c>
      <c r="S28" s="39">
        <f>'CompCo 10'!$C$64</f>
        <v>-3.0000000000000138E-2</v>
      </c>
      <c r="T28" s="39">
        <f>'CompCo 10'!$D$61</f>
        <v>-1.2813994908447854</v>
      </c>
      <c r="U28" s="39">
        <f>'CompCo 10'!$D$64</f>
        <v>-3.0000007810627283E-2</v>
      </c>
      <c r="V28" s="39">
        <f>'CompCo 10'!$E$61</f>
        <v>-1.0087133726589526</v>
      </c>
      <c r="W28" s="39">
        <f>'CompCo 10'!$E$64</f>
        <v>-3.9705959088735199E-2</v>
      </c>
      <c r="X28" s="39">
        <f>'CompCo 10'!$E$66</f>
        <v>0.02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54</v>
      </c>
      <c r="C30" s="43"/>
      <c r="D30" s="43"/>
      <c r="E30" s="43"/>
      <c r="F30" s="43"/>
      <c r="G30" s="43"/>
      <c r="H30" s="3"/>
      <c r="I30" s="44"/>
      <c r="J30" s="44"/>
      <c r="K30" s="44"/>
      <c r="L30" s="44"/>
      <c r="M30" s="45">
        <f>IF(ISERROR(AVERAGE(M24:M28)),"NA",AVERAGE(M24:M28))</f>
        <v>4.9962071724311684E-2</v>
      </c>
      <c r="N30" s="45">
        <f>IF(ISERROR(AVERAGE(N24:N28)),"NA",AVERAGE(N24:N28))</f>
        <v>4.790676029212676E-2</v>
      </c>
      <c r="O30" s="45">
        <f>IF(ISERROR(AVERAGE(O24:O28)),"NA",AVERAGE(O24:O28))</f>
        <v>3.4125493878144696E-2</v>
      </c>
      <c r="P30" s="45">
        <f>IF(ISERROR(AVERAGE(P24:P28)),"NA",AVERAGE(P24:P28))</f>
        <v>1.7946844183635277E-2</v>
      </c>
      <c r="Q30" s="45"/>
      <c r="R30" s="45">
        <f t="shared" ref="R30:X30" si="2">+AVERAGE(R24:R28)</f>
        <v>-0.1445343722080136</v>
      </c>
      <c r="S30" s="45">
        <f t="shared" si="2"/>
        <v>-2.043161101865909E-2</v>
      </c>
      <c r="T30" s="45">
        <f t="shared" si="2"/>
        <v>-5.5266231197332961E-2</v>
      </c>
      <c r="U30" s="45">
        <f t="shared" si="2"/>
        <v>-2.0431612240935725E-2</v>
      </c>
      <c r="V30" s="45">
        <f t="shared" si="2"/>
        <v>0.99803298796735229</v>
      </c>
      <c r="W30" s="45">
        <f t="shared" si="2"/>
        <v>2.686862228704421E-2</v>
      </c>
      <c r="X30" s="45">
        <f t="shared" si="2"/>
        <v>0.02</v>
      </c>
      <c r="Y30" s="2"/>
      <c r="Z30" s="2"/>
    </row>
    <row r="31" spans="1:26" ht="12.75" customHeight="1" x14ac:dyDescent="0.2">
      <c r="A31" s="2"/>
      <c r="B31" s="42" t="s">
        <v>55</v>
      </c>
      <c r="C31" s="43"/>
      <c r="D31" s="43"/>
      <c r="E31" s="43"/>
      <c r="F31" s="43"/>
      <c r="G31" s="43"/>
      <c r="H31" s="3"/>
      <c r="I31" s="44"/>
      <c r="J31" s="44"/>
      <c r="K31" s="44"/>
      <c r="L31" s="44"/>
      <c r="M31" s="45">
        <f>IF(ISERROR(MEDIAN(M24:M28)),"NA",MEDIAN(M24:M28))</f>
        <v>3.9034781151066483E-2</v>
      </c>
      <c r="N31" s="45">
        <f>IF(ISERROR(MEDIAN(N24:N28)),"NA",MEDIAN(N24:N28))</f>
        <v>5.2369001482853277E-2</v>
      </c>
      <c r="O31" s="45">
        <f>IF(ISERROR(MEDIAN(O24:O28)),"NA",MEDIAN(O24:O28))</f>
        <v>3.1096726731900372E-2</v>
      </c>
      <c r="P31" s="45">
        <f>IF(ISERROR(MEDIAN(P24:P28)),"NA",MEDIAN(P24:P28))</f>
        <v>2.0116659231836972E-2</v>
      </c>
      <c r="Q31" s="45"/>
      <c r="R31" s="45">
        <f t="shared" ref="R31:X31" si="3">MEDIAN(R24:R28)</f>
        <v>-0.15617858767102999</v>
      </c>
      <c r="S31" s="45">
        <f t="shared" si="3"/>
        <v>-3.0000000000000027E-2</v>
      </c>
      <c r="T31" s="45">
        <f t="shared" si="3"/>
        <v>0.14305461902008298</v>
      </c>
      <c r="U31" s="45">
        <f t="shared" si="3"/>
        <v>-2.9999998820865459E-2</v>
      </c>
      <c r="V31" s="45">
        <f t="shared" si="3"/>
        <v>0.42823369809840761</v>
      </c>
      <c r="W31" s="45">
        <f t="shared" si="3"/>
        <v>-3.0006542493052124E-2</v>
      </c>
      <c r="X31" s="45">
        <f t="shared" si="3"/>
        <v>0.02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69"/>
      <c r="W33" s="269"/>
      <c r="X33" s="269"/>
      <c r="Y33" s="2"/>
      <c r="Z33" s="2"/>
    </row>
    <row r="34" spans="1:26" ht="12.75" customHeight="1" x14ac:dyDescent="0.2">
      <c r="A34" s="2"/>
      <c r="B34" s="2" t="str">
        <f>'CompCo 11'!$E$7</f>
        <v>Công ty Cổ phần Tập đoàn Hoa Sen</v>
      </c>
      <c r="C34" s="2" t="str">
        <f>'CompCo 11'!$E$8</f>
        <v>HSG</v>
      </c>
      <c r="D34" s="38">
        <f>'CompCo 11'!$E$24</f>
        <v>9566063.0424000006</v>
      </c>
      <c r="E34" s="38">
        <f>'CompCo 11'!$E$30</f>
        <v>13542091.097400002</v>
      </c>
      <c r="F34" s="38"/>
      <c r="G34" s="38">
        <f>'CompCo 11'!$N$10</f>
        <v>36537815.078000002</v>
      </c>
      <c r="H34" s="38">
        <f>'CompCo 11'!$N$31</f>
        <v>4520040.8480000012</v>
      </c>
      <c r="I34" s="38">
        <f>'CompCo 11'!$N$40</f>
        <v>903060.62</v>
      </c>
      <c r="J34" s="38">
        <f>'CompCo 11'!$N$37</f>
        <v>1010388.2720000008</v>
      </c>
      <c r="K34" s="38">
        <f>'CompCo 11'!$N$49</f>
        <v>735018.77500000084</v>
      </c>
      <c r="L34" s="36"/>
      <c r="M34" s="39">
        <f>'CompCo 11'!$N$32</f>
        <v>0.12370856982966093</v>
      </c>
      <c r="N34" s="39">
        <f>'CompCo 11'!$N$42</f>
        <v>5.2369001482853277E-2</v>
      </c>
      <c r="O34" s="39">
        <f>'CompCo 11'!$N$38</f>
        <v>2.765322091217139E-2</v>
      </c>
      <c r="P34" s="39">
        <f>'CompCo 11'!$N$50</f>
        <v>2.0116659231836972E-2</v>
      </c>
      <c r="Q34" s="39"/>
      <c r="R34" s="39">
        <f>'CompCo 11'!$C$61</f>
        <v>-6.9619221274131338E-2</v>
      </c>
      <c r="S34" s="39">
        <f>'CompCo 11'!$C$64</f>
        <v>-4.7951025902319699E-3</v>
      </c>
      <c r="T34" s="39">
        <f>'CompCo 11'!$D$61</f>
        <v>0.14305461902008298</v>
      </c>
      <c r="U34" s="39">
        <f>'CompCo 11'!$D$64</f>
        <v>-4.7951020701220148E-3</v>
      </c>
      <c r="V34" s="39">
        <f>'CompCo 11'!$E$61</f>
        <v>0.42823369809840761</v>
      </c>
      <c r="W34" s="39">
        <f>'CompCo 11'!$E$64</f>
        <v>0.24276617646928389</v>
      </c>
      <c r="X34" s="39">
        <f>'CompCo 11'!$E$66</f>
        <v>0.02</v>
      </c>
      <c r="Y34" s="2"/>
      <c r="Z34" s="2"/>
    </row>
    <row r="35" spans="1:26" ht="12.75" customHeight="1" x14ac:dyDescent="0.2">
      <c r="A35" s="2"/>
      <c r="B35" s="2" t="str">
        <f>'CompCo 12'!$E$7</f>
        <v>Công ty Cổ phần Thép Nam Kim</v>
      </c>
      <c r="C35" s="2" t="str">
        <f>'CompCo 12'!$E$8</f>
        <v>NKG</v>
      </c>
      <c r="D35" s="41">
        <f>'CompCo 12'!$E$24</f>
        <v>5975071.2613499993</v>
      </c>
      <c r="E35" s="41">
        <f>'CompCo 12'!$E$30</f>
        <v>12003296.56435</v>
      </c>
      <c r="F35" s="41"/>
      <c r="G35" s="41">
        <f>'CompCo 12'!$N$10</f>
        <v>14808145.017000001</v>
      </c>
      <c r="H35" s="41">
        <f>'CompCo 12'!$N$31</f>
        <v>785173.58700000122</v>
      </c>
      <c r="I35" s="41">
        <f>'CompCo 12'!$N$40</f>
        <v>362151.28600000002</v>
      </c>
      <c r="J35" s="41">
        <f>'CompCo 12'!$N$37</f>
        <v>460484.8390000012</v>
      </c>
      <c r="K35" s="41">
        <f>'CompCo 12'!$N$49</f>
        <v>197122.28100000121</v>
      </c>
      <c r="L35" s="36"/>
      <c r="M35" s="39">
        <f>'CompCo 12'!$N$32</f>
        <v>5.3023088718985985E-2</v>
      </c>
      <c r="N35" s="39">
        <f>'CompCo 12'!$N$42</f>
        <v>5.5552949005807345E-2</v>
      </c>
      <c r="O35" s="39">
        <f>'CompCo 12'!$N$38</f>
        <v>3.1096726731900372E-2</v>
      </c>
      <c r="P35" s="39">
        <f>'CompCo 12'!$N$50</f>
        <v>1.3311747067151321E-2</v>
      </c>
      <c r="Q35" s="39"/>
      <c r="R35" s="39">
        <f>'CompCo 12'!$C$61</f>
        <v>-0.28147270256299339</v>
      </c>
      <c r="S35" s="39">
        <f>'CompCo 12'!$C$64</f>
        <v>-3.0000000000000027E-2</v>
      </c>
      <c r="T35" s="39">
        <f>'CompCo 12'!$D$61</f>
        <v>-0.27596425011406134</v>
      </c>
      <c r="U35" s="39">
        <f>'CompCo 12'!$D$64</f>
        <v>-2.9999998820865459E-2</v>
      </c>
      <c r="V35" s="39">
        <f>'CompCo 12'!$E$61</f>
        <v>-0.56485929974804083</v>
      </c>
      <c r="W35" s="39">
        <f>'CompCo 12'!$E$64</f>
        <v>-4.5114328519829661E-3</v>
      </c>
      <c r="X35" s="39">
        <f>'CompCo 12'!$E$66</f>
        <v>0.02</v>
      </c>
      <c r="Y35" s="2"/>
      <c r="Z35" s="2"/>
    </row>
    <row r="36" spans="1:26" ht="12.75" customHeight="1" x14ac:dyDescent="0.2">
      <c r="A36" s="2"/>
      <c r="B36" s="2" t="str">
        <f>'CompCo 13'!$E$7</f>
        <v>Công ty Cổ phần Ống thép Việt - Đức VG PIPE</v>
      </c>
      <c r="C36" s="2" t="str">
        <f>'CompCo 13'!$E$8</f>
        <v>VGS</v>
      </c>
      <c r="D36" s="41">
        <f>'CompCo 13'!$E$24</f>
        <v>1304312.0859999999</v>
      </c>
      <c r="E36" s="41">
        <f>'CompCo 13'!$E$30</f>
        <v>1815924.8230000001</v>
      </c>
      <c r="F36" s="41"/>
      <c r="G36" s="41">
        <f>'CompCo 13'!$N$10</f>
        <v>7318590.5640000002</v>
      </c>
      <c r="H36" s="41">
        <f>'CompCo 13'!$N$31</f>
        <v>285679.58100000024</v>
      </c>
      <c r="I36" s="41">
        <f>'CompCo 13'!$N$40</f>
        <v>12008.565000000001</v>
      </c>
      <c r="J36" s="41">
        <f>'CompCo 13'!$N$37</f>
        <v>272038.16900000023</v>
      </c>
      <c r="K36" s="41">
        <f>'CompCo 13'!$N$49</f>
        <v>217018.03400000022</v>
      </c>
      <c r="L36" s="36"/>
      <c r="M36" s="39">
        <f>'CompCo 13'!$N$32</f>
        <v>3.9034781151066483E-2</v>
      </c>
      <c r="N36" s="39">
        <f>'CompCo 13'!$N$42</f>
        <v>3.8811671662194139E-2</v>
      </c>
      <c r="O36" s="39">
        <f>'CompCo 13'!$N$38</f>
        <v>3.7170841382786257E-2</v>
      </c>
      <c r="P36" s="39">
        <f>'CompCo 13'!$N$50</f>
        <v>2.9652981964520268E-2</v>
      </c>
      <c r="Q36" s="39"/>
      <c r="R36" s="39">
        <f>'CompCo 13'!$C$61</f>
        <v>-4.4732668913161078E-4</v>
      </c>
      <c r="S36" s="39">
        <f>'CompCo 13'!$C$64</f>
        <v>-7.3629525030632914E-3</v>
      </c>
      <c r="T36" s="39">
        <f>'CompCo 13'!$D$61</f>
        <v>0.68756165307515205</v>
      </c>
      <c r="U36" s="39">
        <f>'CompCo 13'!$D$64</f>
        <v>-7.3629525030641796E-3</v>
      </c>
      <c r="V36" s="39">
        <f>'CompCo 13'!$E$61</f>
        <v>0.97550238335480421</v>
      </c>
      <c r="W36" s="39">
        <f>'CompCo 13'!$E$64</f>
        <v>-3.419913060029256E-2</v>
      </c>
      <c r="X36" s="39">
        <f>'CompCo 13'!$E$66</f>
        <v>0.02</v>
      </c>
      <c r="Y36" s="2"/>
      <c r="Z36" s="2"/>
    </row>
    <row r="37" spans="1:26" ht="12.75" customHeight="1" x14ac:dyDescent="0.2">
      <c r="A37" s="2"/>
      <c r="B37" s="2" t="str">
        <f>'CompCo 14'!$E$7</f>
        <v>Công ty Cổ phần Đầu tư Thương mại SMC</v>
      </c>
      <c r="C37" s="2" t="str">
        <f>'CompCo 14'!$E$8</f>
        <v>SMC</v>
      </c>
      <c r="D37" s="41">
        <f>'CompCo 14'!$E$24</f>
        <v>787593.15590000001</v>
      </c>
      <c r="E37" s="41">
        <f>'CompCo 14'!$E$30</f>
        <v>2718909.0658999998</v>
      </c>
      <c r="F37" s="41"/>
      <c r="G37" s="41">
        <f>'CompCo 14'!$N$10</f>
        <v>7010299.4939999999</v>
      </c>
      <c r="H37" s="41">
        <f>'CompCo 14'!$N$31</f>
        <v>1357.4529999997467</v>
      </c>
      <c r="I37" s="41">
        <f>'CompCo 14'!$N$40</f>
        <v>89937.751000000004</v>
      </c>
      <c r="J37" s="41">
        <f>'CompCo 14'!$N$37</f>
        <v>396981.87199999974</v>
      </c>
      <c r="K37" s="41">
        <f>'CompCo 14'!$N$49</f>
        <v>180117.14499999973</v>
      </c>
      <c r="L37" s="36"/>
      <c r="M37" s="39">
        <f>'CompCo 14'!$N$32</f>
        <v>1.936369482019375E-4</v>
      </c>
      <c r="N37" s="39">
        <f>'CompCo 14'!$N$42</f>
        <v>6.9457749047204934E-2</v>
      </c>
      <c r="O37" s="39">
        <f>'CompCo 14'!$N$38</f>
        <v>5.6628375483782113E-2</v>
      </c>
      <c r="P37" s="39">
        <f>'CompCo 14'!$N$50</f>
        <v>2.5693216838190584E-2</v>
      </c>
      <c r="Q37" s="39"/>
      <c r="R37" s="39">
        <f>'CompCo 14'!$C$61</f>
        <v>-0.21495402284278164</v>
      </c>
      <c r="S37" s="39">
        <f>'CompCo 14'!$C$64</f>
        <v>-3.0000000000000027E-2</v>
      </c>
      <c r="T37" s="39">
        <f>'CompCo 14'!$D$61</f>
        <v>0.45041631287694694</v>
      </c>
      <c r="U37" s="39">
        <f>'CompCo 14'!$D$64</f>
        <v>-2.9999999999999694E-2</v>
      </c>
      <c r="V37" s="39">
        <f>'CompCo 14'!$E$61</f>
        <v>5.1600015307905434</v>
      </c>
      <c r="W37" s="39">
        <f>'CompCo 14'!$E$64</f>
        <v>-3.0006542493052124E-2</v>
      </c>
      <c r="X37" s="39">
        <f>'CompCo 14'!$E$66</f>
        <v>0.02</v>
      </c>
      <c r="Y37" s="2"/>
      <c r="Z37" s="2"/>
    </row>
    <row r="38" spans="1:26" ht="12.75" customHeight="1" x14ac:dyDescent="0.2">
      <c r="A38" s="2" t="s">
        <v>58</v>
      </c>
      <c r="B38" s="2" t="str">
        <f>'CompCo 15'!$E$7</f>
        <v>Công ty Cổ phần Tập đoàn Thép Tiến Lên</v>
      </c>
      <c r="C38" s="2" t="str">
        <f>'CompCo 15'!$E$8</f>
        <v>TLH</v>
      </c>
      <c r="D38" s="41">
        <f>'CompCo 15'!$E$24</f>
        <v>491961.67446000001</v>
      </c>
      <c r="E38" s="41">
        <f>'CompCo 15'!$E$30</f>
        <v>1740638.5934599997</v>
      </c>
      <c r="F38" s="41"/>
      <c r="G38" s="41">
        <f>'CompCo 15'!$N$10</f>
        <v>5320344.78</v>
      </c>
      <c r="H38" s="41">
        <f>'CompCo 15'!$N$31</f>
        <v>180095.17100000009</v>
      </c>
      <c r="I38" s="41">
        <f>'CompCo 15'!$N$40</f>
        <v>28006.962</v>
      </c>
      <c r="J38" s="41">
        <f>'CompCo 15'!$N$37</f>
        <v>96182.815000000075</v>
      </c>
      <c r="K38" s="41">
        <f>'CompCo 15'!$N$49</f>
        <v>5105.4870000000728</v>
      </c>
      <c r="L38" s="36"/>
      <c r="M38" s="39">
        <f>'CompCo 15'!$N$32</f>
        <v>3.3850281973643086E-2</v>
      </c>
      <c r="N38" s="39">
        <f>'CompCo 15'!$N$42</f>
        <v>2.3342430262574085E-2</v>
      </c>
      <c r="O38" s="39">
        <f>'CompCo 15'!$N$38</f>
        <v>1.8078304880083367E-2</v>
      </c>
      <c r="P38" s="39">
        <f>'CompCo 15'!$N$50</f>
        <v>9.5961581647723069E-4</v>
      </c>
      <c r="Q38" s="39"/>
      <c r="R38" s="39">
        <f>'CompCo 15'!$C$61</f>
        <v>-0.15617858767102999</v>
      </c>
      <c r="S38" s="39">
        <f>'CompCo 15'!$C$64</f>
        <v>-3.0000000000000138E-2</v>
      </c>
      <c r="T38" s="39">
        <f>'CompCo 15'!$D$61</f>
        <v>-1.2813994908447854</v>
      </c>
      <c r="U38" s="39">
        <f>'CompCo 15'!$D$64</f>
        <v>-3.0000007810627283E-2</v>
      </c>
      <c r="V38" s="39">
        <f>'CompCo 15'!$E$61</f>
        <v>-1.0087133726589526</v>
      </c>
      <c r="W38" s="39">
        <f>'CompCo 15'!$E$64</f>
        <v>-3.9705959088735199E-2</v>
      </c>
      <c r="X38" s="39">
        <f>'CompCo 15'!$E$66</f>
        <v>0.02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54</v>
      </c>
      <c r="C40" s="43"/>
      <c r="D40" s="3"/>
      <c r="E40" s="44"/>
      <c r="F40" s="43"/>
      <c r="G40" s="43"/>
      <c r="H40" s="3"/>
      <c r="I40" s="44"/>
      <c r="J40" s="44"/>
      <c r="K40" s="44"/>
      <c r="L40" s="44"/>
      <c r="M40" s="45">
        <f>IF(ISERROR(AVERAGE(M34:M38)),"NA",AVERAGE(M34:M38))</f>
        <v>4.9962071724311684E-2</v>
      </c>
      <c r="N40" s="45">
        <f>IF(ISERROR(AVERAGE(N34:N38)),"NA",AVERAGE(N34:N38))</f>
        <v>4.790676029212676E-2</v>
      </c>
      <c r="O40" s="45">
        <f>IF(ISERROR(AVERAGE(O34:O38)),"NA",AVERAGE(O34:O38))</f>
        <v>3.4125493878144696E-2</v>
      </c>
      <c r="P40" s="45">
        <f>IF(ISERROR(AVERAGE(P34:P38)),"NA",AVERAGE(P34:P38))</f>
        <v>1.7946844183635277E-2</v>
      </c>
      <c r="Q40" s="45"/>
      <c r="R40" s="45">
        <f t="shared" ref="R40:X40" si="4">+AVERAGE(R34:R38)</f>
        <v>-0.1445343722080136</v>
      </c>
      <c r="S40" s="45">
        <f t="shared" si="4"/>
        <v>-2.043161101865909E-2</v>
      </c>
      <c r="T40" s="45">
        <f t="shared" si="4"/>
        <v>-5.5266231197332961E-2</v>
      </c>
      <c r="U40" s="45">
        <f t="shared" si="4"/>
        <v>-2.0431612240935725E-2</v>
      </c>
      <c r="V40" s="45">
        <f t="shared" si="4"/>
        <v>0.99803298796735229</v>
      </c>
      <c r="W40" s="45">
        <f t="shared" si="4"/>
        <v>2.686862228704421E-2</v>
      </c>
      <c r="X40" s="45">
        <f t="shared" si="4"/>
        <v>0.02</v>
      </c>
      <c r="Y40" s="2"/>
      <c r="Z40" s="2"/>
    </row>
    <row r="41" spans="1:26" ht="12.75" customHeight="1" x14ac:dyDescent="0.2">
      <c r="A41" s="2"/>
      <c r="B41" s="42" t="s">
        <v>55</v>
      </c>
      <c r="C41" s="43"/>
      <c r="D41" s="3"/>
      <c r="E41" s="44"/>
      <c r="F41" s="43"/>
      <c r="G41" s="43"/>
      <c r="H41" s="3"/>
      <c r="I41" s="44"/>
      <c r="J41" s="44"/>
      <c r="K41" s="44"/>
      <c r="L41" s="44"/>
      <c r="M41" s="45">
        <f>IF(ISERROR(MEDIAN(M34:M38)),"NA",MEDIAN(M34:M38))</f>
        <v>3.9034781151066483E-2</v>
      </c>
      <c r="N41" s="45">
        <f>IF(ISERROR(MEDIAN(N34:N38)),"NA",MEDIAN(N34:N38))</f>
        <v>5.2369001482853277E-2</v>
      </c>
      <c r="O41" s="45">
        <f>IF(ISERROR(MEDIAN(O34:O38)),"NA",MEDIAN(O34:O38))</f>
        <v>3.1096726731900372E-2</v>
      </c>
      <c r="P41" s="45">
        <f>IF(ISERROR(MEDIAN(P34:P38)),"NA",MEDIAN(P34:P38))</f>
        <v>2.0116659231836972E-2</v>
      </c>
      <c r="Q41" s="45"/>
      <c r="R41" s="45">
        <f t="shared" ref="R41:X41" si="5">MEDIAN(R34:R38)</f>
        <v>-0.15617858767102999</v>
      </c>
      <c r="S41" s="45">
        <f t="shared" si="5"/>
        <v>-3.0000000000000027E-2</v>
      </c>
      <c r="T41" s="45">
        <f t="shared" si="5"/>
        <v>0.14305461902008298</v>
      </c>
      <c r="U41" s="45">
        <f t="shared" si="5"/>
        <v>-2.9999998820865459E-2</v>
      </c>
      <c r="V41" s="45">
        <f t="shared" si="5"/>
        <v>0.42823369809840761</v>
      </c>
      <c r="W41" s="45">
        <f t="shared" si="5"/>
        <v>-3.0006542493052124E-2</v>
      </c>
      <c r="X41" s="45">
        <f t="shared" si="5"/>
        <v>0.02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269"/>
      <c r="W43" s="269"/>
      <c r="X43" s="269"/>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54</v>
      </c>
      <c r="C45" s="43"/>
      <c r="D45" s="43"/>
      <c r="E45" s="43"/>
      <c r="F45" s="43"/>
      <c r="G45" s="43"/>
      <c r="H45" s="3"/>
      <c r="I45" s="44"/>
      <c r="J45" s="44"/>
      <c r="K45" s="44"/>
      <c r="L45" s="44"/>
      <c r="M45" s="45">
        <f>IF(ISERROR(AVERAGE(M24:M28,M14:M18,M34:M38)),"NA",AVERAGE(M24:M28,M14:M18,M34:M38))</f>
        <v>4.9962071724311684E-2</v>
      </c>
      <c r="N45" s="45">
        <f>IF(ISERROR(AVERAGE(N24:N28,N14:N18,N34:N38)),"NA",AVERAGE(N24:N28,N14:N18,N34:N38))</f>
        <v>4.7906760292126753E-2</v>
      </c>
      <c r="O45" s="45">
        <f>IF(ISERROR(AVERAGE(O24:O28,O14:O18,O34:O38)),"NA",AVERAGE(O24:O28,O14:O18,O34:O38))</f>
        <v>3.4125493878144703E-2</v>
      </c>
      <c r="P45" s="45">
        <f>IF(ISERROR(AVERAGE(P24:P28,P14:P18,P34:P38)),"NA",AVERAGE(P24:P28,P14:P18,P34:P38))</f>
        <v>1.7946844183635281E-2</v>
      </c>
      <c r="Q45" s="45"/>
      <c r="R45" s="45">
        <f t="shared" ref="R45:X45" si="6">+AVERAGE(R24:R28,R14:R18,R34:R38)</f>
        <v>-0.14453437220801355</v>
      </c>
      <c r="S45" s="45">
        <f t="shared" si="6"/>
        <v>-2.043161101865909E-2</v>
      </c>
      <c r="T45" s="45">
        <f t="shared" si="6"/>
        <v>-5.5266231197332961E-2</v>
      </c>
      <c r="U45" s="45">
        <f t="shared" si="6"/>
        <v>-2.0431612240935725E-2</v>
      </c>
      <c r="V45" s="45">
        <f t="shared" si="6"/>
        <v>0.99803298796735229</v>
      </c>
      <c r="W45" s="45">
        <f t="shared" si="6"/>
        <v>2.686862228704421E-2</v>
      </c>
      <c r="X45" s="45">
        <f t="shared" si="6"/>
        <v>0.02</v>
      </c>
      <c r="Y45" s="2"/>
      <c r="Z45" s="2"/>
    </row>
    <row r="46" spans="1:26" ht="12.75" customHeight="1" x14ac:dyDescent="0.2">
      <c r="A46" s="2"/>
      <c r="B46" s="42" t="s">
        <v>55</v>
      </c>
      <c r="C46" s="43"/>
      <c r="D46" s="43"/>
      <c r="E46" s="43"/>
      <c r="F46" s="43"/>
      <c r="G46" s="43"/>
      <c r="H46" s="3"/>
      <c r="I46" s="44"/>
      <c r="J46" s="44"/>
      <c r="K46" s="44"/>
      <c r="L46" s="44"/>
      <c r="M46" s="45">
        <f>IF(ISERROR(MEDIAN(M24:M28,M14:M18,M34:M38)),"NA",MEDIAN(M24:M28,M14:M18,M34:M38))</f>
        <v>3.9034781151066483E-2</v>
      </c>
      <c r="N46" s="45">
        <f>IF(ISERROR(MEDIAN(N24:N28,N14:N18,N34:N38)),"NA",MEDIAN(N24:N28,N14:N18,N34:N38))</f>
        <v>5.2369001482853277E-2</v>
      </c>
      <c r="O46" s="45">
        <f>IF(ISERROR(MEDIAN(O24:O28,O14:O18,O34:O38)),"NA",MEDIAN(O24:O28,O14:O18,O34:O38))</f>
        <v>3.1096726731900372E-2</v>
      </c>
      <c r="P46" s="45">
        <f>IF(ISERROR(MEDIAN(P24:P28,P14:P18,P34:P38)),"NA",MEDIAN(P24:P28,P14:P18,P34:P38))</f>
        <v>2.0116659231836972E-2</v>
      </c>
      <c r="Q46" s="45"/>
      <c r="R46" s="45">
        <f t="shared" ref="R46:X46" si="7">MEDIAN(R24:R28,R14:R18,R34:R38)</f>
        <v>-0.15617858767102999</v>
      </c>
      <c r="S46" s="45">
        <f t="shared" si="7"/>
        <v>-3.0000000000000027E-2</v>
      </c>
      <c r="T46" s="45">
        <f t="shared" si="7"/>
        <v>0.14305461902008298</v>
      </c>
      <c r="U46" s="45">
        <f t="shared" si="7"/>
        <v>-2.9999998820865459E-2</v>
      </c>
      <c r="V46" s="45">
        <f t="shared" si="7"/>
        <v>0.42823369809840761</v>
      </c>
      <c r="W46" s="45">
        <f t="shared" si="7"/>
        <v>-3.0006542493052124E-2</v>
      </c>
      <c r="X46" s="45">
        <f t="shared" si="7"/>
        <v>0.02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60</v>
      </c>
      <c r="C48" s="43"/>
      <c r="D48" s="43"/>
      <c r="E48" s="43"/>
      <c r="F48" s="43"/>
      <c r="G48" s="43"/>
      <c r="H48" s="3"/>
      <c r="I48" s="44"/>
      <c r="J48" s="44"/>
      <c r="K48" s="44"/>
      <c r="L48" s="44"/>
      <c r="M48" s="45">
        <f t="shared" ref="M48:X48" si="8">MAX(M24:M28,M14:M18,M34:M38)</f>
        <v>0.12370856982966093</v>
      </c>
      <c r="N48" s="45">
        <f t="shared" si="8"/>
        <v>6.9457749047204934E-2</v>
      </c>
      <c r="O48" s="45">
        <f t="shared" si="8"/>
        <v>5.6628375483782113E-2</v>
      </c>
      <c r="P48" s="45">
        <f t="shared" si="8"/>
        <v>2.9652981964520268E-2</v>
      </c>
      <c r="Q48" s="45">
        <f t="shared" si="8"/>
        <v>0</v>
      </c>
      <c r="R48" s="45">
        <f t="shared" si="8"/>
        <v>-4.4732668913161078E-4</v>
      </c>
      <c r="S48" s="45">
        <f t="shared" si="8"/>
        <v>-4.7951025902319699E-3</v>
      </c>
      <c r="T48" s="45">
        <f t="shared" si="8"/>
        <v>0.68756165307515205</v>
      </c>
      <c r="U48" s="45">
        <f t="shared" si="8"/>
        <v>-4.7951020701220148E-3</v>
      </c>
      <c r="V48" s="45">
        <f t="shared" si="8"/>
        <v>5.1600015307905434</v>
      </c>
      <c r="W48" s="45">
        <f t="shared" si="8"/>
        <v>0.24276617646928389</v>
      </c>
      <c r="X48" s="45">
        <f t="shared" si="8"/>
        <v>0.02</v>
      </c>
      <c r="Y48" s="2"/>
      <c r="Z48" s="2"/>
    </row>
    <row r="49" spans="1:26" ht="12.75" customHeight="1" x14ac:dyDescent="0.2">
      <c r="A49" s="2"/>
      <c r="B49" s="42" t="s">
        <v>61</v>
      </c>
      <c r="C49" s="43"/>
      <c r="D49" s="43"/>
      <c r="E49" s="43"/>
      <c r="F49" s="43"/>
      <c r="G49" s="43"/>
      <c r="H49" s="3"/>
      <c r="I49" s="44"/>
      <c r="J49" s="44"/>
      <c r="K49" s="44"/>
      <c r="L49" s="44"/>
      <c r="M49" s="45">
        <f t="shared" ref="M49:X49" si="9">MIN(M24:M28,M14:M18,M34:M38)</f>
        <v>1.936369482019375E-4</v>
      </c>
      <c r="N49" s="45">
        <f t="shared" si="9"/>
        <v>2.3342430262574085E-2</v>
      </c>
      <c r="O49" s="45">
        <f t="shared" si="9"/>
        <v>1.8078304880083367E-2</v>
      </c>
      <c r="P49" s="45">
        <f t="shared" si="9"/>
        <v>9.5961581647723069E-4</v>
      </c>
      <c r="Q49" s="45">
        <f t="shared" si="9"/>
        <v>0</v>
      </c>
      <c r="R49" s="45">
        <f t="shared" si="9"/>
        <v>-0.28147270256299339</v>
      </c>
      <c r="S49" s="45">
        <f t="shared" si="9"/>
        <v>-3.0000000000000138E-2</v>
      </c>
      <c r="T49" s="45">
        <f t="shared" si="9"/>
        <v>-1.2813994908447854</v>
      </c>
      <c r="U49" s="45">
        <f t="shared" si="9"/>
        <v>-3.0000007810627283E-2</v>
      </c>
      <c r="V49" s="45">
        <f t="shared" si="9"/>
        <v>-1.0087133726589526</v>
      </c>
      <c r="W49" s="45">
        <f t="shared" si="9"/>
        <v>-3.9705959088735199E-2</v>
      </c>
      <c r="X49" s="45">
        <f t="shared" si="9"/>
        <v>0.02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62</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63</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64</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25</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65</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27</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70" t="s">
        <v>66</v>
      </c>
      <c r="E6" s="269"/>
      <c r="F6" s="2"/>
      <c r="G6" s="270" t="s">
        <v>67</v>
      </c>
      <c r="H6" s="269"/>
      <c r="I6" s="269"/>
      <c r="J6" s="269"/>
      <c r="K6" s="2"/>
      <c r="L6" s="270" t="s">
        <v>68</v>
      </c>
      <c r="M6" s="269"/>
      <c r="N6" s="269"/>
      <c r="O6" s="28"/>
      <c r="P6" s="270" t="s">
        <v>69</v>
      </c>
      <c r="Q6" s="269"/>
      <c r="R6" s="269"/>
      <c r="S6" s="64"/>
      <c r="T6" s="270" t="s">
        <v>70</v>
      </c>
      <c r="U6" s="269"/>
      <c r="V6" s="28"/>
      <c r="W6" s="2"/>
      <c r="X6" s="2"/>
      <c r="Y6" s="2"/>
      <c r="Z6" s="2"/>
    </row>
    <row r="7" spans="1:26" ht="12.75" customHeight="1" x14ac:dyDescent="0.2">
      <c r="A7" s="28"/>
      <c r="B7" s="28"/>
      <c r="C7" s="28"/>
      <c r="D7" s="28"/>
      <c r="E7" s="27"/>
      <c r="F7" s="28"/>
      <c r="G7" s="27"/>
      <c r="H7" s="27"/>
      <c r="I7" s="27"/>
      <c r="J7" s="27" t="s">
        <v>71</v>
      </c>
      <c r="K7" s="28"/>
      <c r="L7" s="27" t="s">
        <v>72</v>
      </c>
      <c r="M7" s="27" t="s">
        <v>73</v>
      </c>
      <c r="N7" s="27" t="s">
        <v>74</v>
      </c>
      <c r="O7" s="27"/>
      <c r="P7" s="27" t="s">
        <v>75</v>
      </c>
      <c r="Q7" s="27" t="s">
        <v>42</v>
      </c>
      <c r="R7" s="27" t="s">
        <v>76</v>
      </c>
      <c r="S7" s="27"/>
      <c r="T7" s="27"/>
      <c r="U7" s="28"/>
      <c r="V7" s="28"/>
      <c r="W7" s="28"/>
      <c r="X7" s="28"/>
      <c r="Y7" s="28"/>
      <c r="Z7" s="28"/>
    </row>
    <row r="8" spans="1:26" ht="12.75" customHeight="1" x14ac:dyDescent="0.2">
      <c r="A8" s="28"/>
      <c r="B8" s="28"/>
      <c r="C8" s="28"/>
      <c r="D8" s="27"/>
      <c r="E8" s="27" t="s">
        <v>77</v>
      </c>
      <c r="F8" s="28"/>
      <c r="G8" s="27" t="s">
        <v>78</v>
      </c>
      <c r="H8" s="27" t="s">
        <v>79</v>
      </c>
      <c r="I8" s="27" t="s">
        <v>80</v>
      </c>
      <c r="J8" s="27" t="s">
        <v>81</v>
      </c>
      <c r="K8" s="28"/>
      <c r="L8" s="27" t="s">
        <v>82</v>
      </c>
      <c r="M8" s="27" t="s">
        <v>42</v>
      </c>
      <c r="N8" s="27" t="s">
        <v>42</v>
      </c>
      <c r="O8" s="27"/>
      <c r="P8" s="27" t="s">
        <v>83</v>
      </c>
      <c r="Q8" s="27" t="s">
        <v>84</v>
      </c>
      <c r="R8" s="27" t="s">
        <v>83</v>
      </c>
      <c r="S8" s="27"/>
      <c r="T8" s="27"/>
      <c r="U8" s="27"/>
      <c r="V8" s="28"/>
      <c r="W8" s="28"/>
      <c r="X8" s="28"/>
      <c r="Y8" s="28"/>
      <c r="Z8" s="28"/>
    </row>
    <row r="9" spans="1:26" ht="15" customHeight="1" x14ac:dyDescent="0.2">
      <c r="A9" s="28"/>
      <c r="B9" s="29" t="s">
        <v>5</v>
      </c>
      <c r="C9" s="152" t="s">
        <v>31</v>
      </c>
      <c r="D9" s="152" t="s">
        <v>85</v>
      </c>
      <c r="E9" s="152" t="s">
        <v>86</v>
      </c>
      <c r="F9" s="152"/>
      <c r="G9" s="152" t="s">
        <v>50</v>
      </c>
      <c r="H9" s="152" t="s">
        <v>50</v>
      </c>
      <c r="I9" s="152" t="s">
        <v>50</v>
      </c>
      <c r="J9" s="152" t="s">
        <v>50</v>
      </c>
      <c r="K9" s="28"/>
      <c r="L9" s="152" t="s">
        <v>50</v>
      </c>
      <c r="M9" s="152" t="s">
        <v>87</v>
      </c>
      <c r="N9" s="152" t="s">
        <v>87</v>
      </c>
      <c r="O9" s="152"/>
      <c r="P9" s="152" t="s">
        <v>87</v>
      </c>
      <c r="Q9" s="152" t="s">
        <v>87</v>
      </c>
      <c r="R9" s="152" t="s">
        <v>87</v>
      </c>
      <c r="S9" s="152"/>
      <c r="T9" s="152" t="s">
        <v>88</v>
      </c>
      <c r="U9" s="152" t="s">
        <v>89</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Tập đoàn Hòa Phát</v>
      </c>
      <c r="C11" s="28" t="str">
        <f>TargetCo!$E$8</f>
        <v>HPG</v>
      </c>
      <c r="D11" s="65">
        <f>TargetCo!$E$10</f>
        <v>46022</v>
      </c>
      <c r="E11" s="66">
        <f>TargetCo!$E$13</f>
        <v>1.1000000000000001</v>
      </c>
      <c r="F11" s="28"/>
      <c r="G11" s="33">
        <f>TargetCo!$E$45</f>
        <v>0.10426122544886812</v>
      </c>
      <c r="H11" s="33">
        <f>TargetCo!$E$46</f>
        <v>0.12570328298077021</v>
      </c>
      <c r="I11" s="33">
        <f>TargetCo!$E$47</f>
        <v>6.4069358722000702E-2</v>
      </c>
      <c r="J11" s="33">
        <f>TargetCo!$E$48</f>
        <v>7.6271186440677971E-2</v>
      </c>
      <c r="K11" s="33"/>
      <c r="L11" s="33">
        <f>TargetCo!$E$51</f>
        <v>0.41260769933702751</v>
      </c>
      <c r="M11" s="48">
        <f>TargetCo!$E$52</f>
        <v>3.111244967123679</v>
      </c>
      <c r="N11" s="48">
        <f>TargetCo!$E$53</f>
        <v>2.8310568361112334</v>
      </c>
      <c r="O11" s="48"/>
      <c r="P11" s="48">
        <f>TargetCo!$E$54</f>
        <v>9.5112365878140075</v>
      </c>
      <c r="Q11" s="48">
        <f>TargetCo!$E$55</f>
        <v>1.2449406306703148</v>
      </c>
      <c r="R11" s="48">
        <f>TargetCo!$E$56</f>
        <v>6.7917902903776364</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30"/>
      <c r="W13" s="2"/>
      <c r="X13" s="2"/>
      <c r="Y13" s="2"/>
      <c r="Z13" s="2"/>
    </row>
    <row r="14" spans="1:26" ht="12.75" customHeight="1" x14ac:dyDescent="0.2">
      <c r="A14" s="2"/>
      <c r="B14" s="2" t="str">
        <f>'CompCo 1'!$E$7</f>
        <v>Công ty Cổ phần Tập đoàn Hoa Sen</v>
      </c>
      <c r="C14" s="2" t="str">
        <f>'CompCo 1'!$E$8</f>
        <v>HSG</v>
      </c>
      <c r="D14" s="68">
        <f>'CompCo 1'!$E$10</f>
        <v>46022</v>
      </c>
      <c r="E14" s="69">
        <f>'CompCo 1'!$E$13</f>
        <v>1.1000000000000001</v>
      </c>
      <c r="F14" s="2"/>
      <c r="G14" s="39">
        <f>'CompCo 1'!$E$45</f>
        <v>6.5199774950685296E-2</v>
      </c>
      <c r="H14" s="39">
        <f>'CompCo 1'!$E$46</f>
        <v>6.6052583263473755E-2</v>
      </c>
      <c r="I14" s="39">
        <f>'CompCo 1'!$E$47</f>
        <v>3.8164292473564697E-2</v>
      </c>
      <c r="J14" s="39">
        <f>'CompCo 1'!$E$48</f>
        <v>0.16877637130801687</v>
      </c>
      <c r="K14" s="39"/>
      <c r="L14" s="39">
        <f>'CompCo 1'!$E$51</f>
        <v>0.27974384864270818</v>
      </c>
      <c r="M14" s="67">
        <f>'CompCo 1'!$E$52</f>
        <v>2.3015329755669263</v>
      </c>
      <c r="N14" s="67">
        <f>'CompCo 1'!$E$53</f>
        <v>2.0779414457441376</v>
      </c>
      <c r="O14" s="67"/>
      <c r="P14" s="67">
        <f>'CompCo 1'!$E$54</f>
        <v>10.3377789275191</v>
      </c>
      <c r="Q14" s="67">
        <f>'CompCo 1'!$E$55</f>
        <v>-3.8321648071503187</v>
      </c>
      <c r="R14" s="67">
        <f>'CompCo 1'!$E$56</f>
        <v>5.4588186967337293</v>
      </c>
      <c r="S14" s="37"/>
      <c r="T14" s="67" t="str">
        <f>'CompCo 1'!$E$11</f>
        <v>NA</v>
      </c>
      <c r="U14" s="67" t="str">
        <f>'CompCo 1'!$E$12</f>
        <v>NA</v>
      </c>
      <c r="V14" s="30"/>
      <c r="W14" s="2"/>
      <c r="X14" s="2"/>
      <c r="Y14" s="2"/>
      <c r="Z14" s="2"/>
    </row>
    <row r="15" spans="1:26" ht="12.75" customHeight="1" x14ac:dyDescent="0.2">
      <c r="A15" s="2"/>
      <c r="B15" s="2" t="str">
        <f>'CompCo 2'!$E$7</f>
        <v>Công ty Cổ phần Thép Nam Kim</v>
      </c>
      <c r="C15" s="2" t="str">
        <f>'CompCo 2'!$E$8</f>
        <v>NKG</v>
      </c>
      <c r="D15" s="68">
        <f>'CompCo 2'!$E$10</f>
        <v>46022</v>
      </c>
      <c r="E15" s="69">
        <f>'CompCo 2'!$E$13</f>
        <v>1.1000000000000001</v>
      </c>
      <c r="F15" s="2"/>
      <c r="G15" s="39">
        <f>'CompCo 2'!$E$45</f>
        <v>3.6180414269212625E-2</v>
      </c>
      <c r="H15" s="39">
        <f>'CompCo 2'!$E$46</f>
        <v>2.9188598658770316E-2</v>
      </c>
      <c r="I15" s="39">
        <f>'CompCo 2'!$E$47</f>
        <v>1.3135794205506294E-2</v>
      </c>
      <c r="J15" s="39">
        <f>'CompCo 2'!$E$48</f>
        <v>0</v>
      </c>
      <c r="K15" s="39"/>
      <c r="L15" s="39">
        <f>'CompCo 2'!$E$51</f>
        <v>0.47351223790233771</v>
      </c>
      <c r="M15" s="67">
        <f>'CompCo 2'!$E$52</f>
        <v>8.3476948511104947</v>
      </c>
      <c r="N15" s="67">
        <f>'CompCo 2'!$E$53</f>
        <v>7.3279680429788945</v>
      </c>
      <c r="O15" s="67"/>
      <c r="P15" s="67">
        <f>'CompCo 2'!$E$54</f>
        <v>3.7453559750571759</v>
      </c>
      <c r="Q15" s="67">
        <f>'CompCo 2'!$E$55</f>
        <v>-11.874451187281476</v>
      </c>
      <c r="R15" s="67">
        <f>'CompCo 2'!$E$56</f>
        <v>2.0965279675408048</v>
      </c>
      <c r="S15" s="37"/>
      <c r="T15" s="67" t="str">
        <f>'CompCo 2'!$E$11</f>
        <v>NA</v>
      </c>
      <c r="U15" s="67" t="str">
        <f>'CompCo 2'!$E$12</f>
        <v>NA</v>
      </c>
      <c r="V15" s="30"/>
      <c r="W15" s="2"/>
      <c r="X15" s="2"/>
      <c r="Y15" s="2"/>
      <c r="Z15" s="2"/>
    </row>
    <row r="16" spans="1:26" ht="12.75" customHeight="1" x14ac:dyDescent="0.2">
      <c r="A16" s="2"/>
      <c r="B16" s="2" t="str">
        <f>'CompCo 3'!$E$7</f>
        <v>Công ty Cổ phần Ống thép Việt - Đức VG PIPE</v>
      </c>
      <c r="C16" s="2" t="str">
        <f>'CompCo 3'!$E$8</f>
        <v>VGS</v>
      </c>
      <c r="D16" s="68">
        <f>'CompCo 3'!$E$10</f>
        <v>46022</v>
      </c>
      <c r="E16" s="69">
        <f>'CompCo 3'!$E$13</f>
        <v>1.1000000000000001</v>
      </c>
      <c r="F16" s="2"/>
      <c r="G16" s="39">
        <f>'CompCo 3'!$E$45</f>
        <v>0.15375469854883864</v>
      </c>
      <c r="H16" s="39">
        <f>'CompCo 3'!$E$46</f>
        <v>0.18234336337275348</v>
      </c>
      <c r="I16" s="39">
        <f>'CompCo 3'!$E$47</f>
        <v>9.3071089740432947E-2</v>
      </c>
      <c r="J16" s="39">
        <f>'CompCo 3'!$E$48</f>
        <v>0</v>
      </c>
      <c r="K16" s="39"/>
      <c r="L16" s="39">
        <f>'CompCo 3'!$E$51</f>
        <v>0.30622557279962181</v>
      </c>
      <c r="M16" s="67">
        <f>'CompCo 3'!$E$52</f>
        <v>2.0135016197721871</v>
      </c>
      <c r="N16" s="67">
        <f>'CompCo 3'!$E$53</f>
        <v>1.8010759982897731</v>
      </c>
      <c r="O16" s="67"/>
      <c r="P16" s="67">
        <f>'CompCo 3'!$E$54</f>
        <v>15.828911710102185</v>
      </c>
      <c r="Q16" s="67">
        <f>'CompCo 3'!$E$55</f>
        <v>13.212052847606882</v>
      </c>
      <c r="R16" s="67">
        <f>'CompCo 3'!$E$56</f>
        <v>15.159717199490338</v>
      </c>
      <c r="S16" s="37"/>
      <c r="T16" s="67" t="str">
        <f>'CompCo 3'!$E$11</f>
        <v>NA</v>
      </c>
      <c r="U16" s="67" t="str">
        <f>'CompCo 3'!$E$12</f>
        <v>NA</v>
      </c>
      <c r="V16" s="30"/>
      <c r="W16" s="2"/>
      <c r="X16" s="2"/>
      <c r="Y16" s="2"/>
      <c r="Z16" s="2"/>
    </row>
    <row r="17" spans="1:26" ht="12.75" customHeight="1" x14ac:dyDescent="0.2">
      <c r="A17" s="2"/>
      <c r="B17" s="2" t="str">
        <f>'CompCo 4'!$E$7</f>
        <v>Công ty Cổ phần Đầu tư Thương mại SMC</v>
      </c>
      <c r="C17" s="2" t="str">
        <f>'CompCo 4'!$E$8</f>
        <v>SMC</v>
      </c>
      <c r="D17" s="68">
        <f>'CompCo 4'!$E$10</f>
        <v>46022</v>
      </c>
      <c r="E17" s="69">
        <f>'CompCo 4'!$E$13</f>
        <v>1.1000000000000001</v>
      </c>
      <c r="F17" s="2"/>
      <c r="G17" s="39">
        <f>'CompCo 4'!$E$45</f>
        <v>0.1328055118715076</v>
      </c>
      <c r="H17" s="39">
        <f>'CompCo 4'!$E$46</f>
        <v>0.1982313095639936</v>
      </c>
      <c r="I17" s="39">
        <f>'CompCo 4'!$E$47</f>
        <v>3.9020633414607847E-2</v>
      </c>
      <c r="J17" s="39">
        <f>'CompCo 4'!$E$48</f>
        <v>0</v>
      </c>
      <c r="K17" s="39"/>
      <c r="L17" s="39">
        <f>'CompCo 4'!$E$51</f>
        <v>0.67041851153605958</v>
      </c>
      <c r="M17" s="67">
        <f>'CompCo 4'!$E$52</f>
        <v>4.2084972759456871</v>
      </c>
      <c r="N17" s="67">
        <f>'CompCo 4'!$E$53</f>
        <v>3.930584939683158</v>
      </c>
      <c r="O17" s="67"/>
      <c r="P17" s="67">
        <f>'CompCo 4'!$E$54</f>
        <v>3.281950863147947</v>
      </c>
      <c r="Q17" s="67">
        <f>'CompCo 4'!$E$55</f>
        <v>3.2678978651678996</v>
      </c>
      <c r="R17" s="67">
        <f>'CompCo 4'!$E$56</f>
        <v>2.6757496225706388</v>
      </c>
      <c r="S17" s="37"/>
      <c r="T17" s="67" t="str">
        <f>'CompCo 4'!$E$11</f>
        <v>NA</v>
      </c>
      <c r="U17" s="67" t="str">
        <f>'CompCo 4'!$E$12</f>
        <v>NA</v>
      </c>
      <c r="V17" s="30"/>
      <c r="W17" s="2"/>
      <c r="X17" s="2"/>
      <c r="Y17" s="2"/>
      <c r="Z17" s="2"/>
    </row>
    <row r="18" spans="1:26" ht="12.75" customHeight="1" x14ac:dyDescent="0.2">
      <c r="A18" s="2"/>
      <c r="B18" s="2" t="str">
        <f>'CompCo 5'!$E$7</f>
        <v>Công ty Cổ phần Tập đoàn Thép Tiến Lên</v>
      </c>
      <c r="C18" s="2" t="str">
        <f>'CompCo 5'!$E$8</f>
        <v>TLH</v>
      </c>
      <c r="D18" s="68">
        <f>'CompCo 5'!$E$10</f>
        <v>46022</v>
      </c>
      <c r="E18" s="69">
        <f>'CompCo 5'!$E$13</f>
        <v>1.1000000000000001</v>
      </c>
      <c r="F18" s="2"/>
      <c r="G18" s="39">
        <f>'CompCo 5'!$E$45</f>
        <v>3.3711053842028861E-2</v>
      </c>
      <c r="H18" s="39">
        <f>'CompCo 5'!$E$46</f>
        <v>4.0488770885438877E-3</v>
      </c>
      <c r="I18" s="39">
        <f>'CompCo 5'!$E$47</f>
        <v>1.5060964796114993E-3</v>
      </c>
      <c r="J18" s="39">
        <f>'CompCo 5'!$E$48</f>
        <v>0</v>
      </c>
      <c r="K18" s="39"/>
      <c r="L18" s="39">
        <f>'CompCo 5'!$E$51</f>
        <v>0.5010189503816862</v>
      </c>
      <c r="M18" s="67">
        <f>'CompCo 5'!$E$52</f>
        <v>10.217764864816523</v>
      </c>
      <c r="N18" s="67">
        <f>'CompCo 5'!$E$53</f>
        <v>10.049764933550039</v>
      </c>
      <c r="O18" s="67"/>
      <c r="P18" s="67">
        <f>'CompCo 5'!$E$54</f>
        <v>1.3614643462773435</v>
      </c>
      <c r="Q18" s="67">
        <f>'CompCo 5'!$E$55</f>
        <v>1.2678136182987809</v>
      </c>
      <c r="R18" s="67">
        <f>'CompCo 5'!$E$56</f>
        <v>1.0544303767216658</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54</v>
      </c>
      <c r="C20" s="42"/>
      <c r="D20" s="42"/>
      <c r="E20" s="70">
        <f>+AVERAGE(E14:E18)</f>
        <v>1.1000000000000001</v>
      </c>
      <c r="F20" s="43"/>
      <c r="G20" s="45">
        <f>+AVERAGE(G14:G18)</f>
        <v>8.4330290696454618E-2</v>
      </c>
      <c r="H20" s="45">
        <f>+AVERAGE(H14:H18)</f>
        <v>9.5972946389507013E-2</v>
      </c>
      <c r="I20" s="45">
        <f>+AVERAGE(I14:I18)</f>
        <v>3.6979581262744657E-2</v>
      </c>
      <c r="J20" s="45">
        <f>IF(ISERROR(AVERAGE(J14:J18)),"NA",AVERAGE(J14:J18))</f>
        <v>3.3755274261603373E-2</v>
      </c>
      <c r="K20" s="45"/>
      <c r="L20" s="45">
        <f>+AVERAGE(L14:L18)</f>
        <v>0.44618382425248271</v>
      </c>
      <c r="M20" s="44">
        <f>+AVERAGE(M14:M18)</f>
        <v>5.4177983174423634</v>
      </c>
      <c r="N20" s="44">
        <f>+AVERAGE(N14:N18)</f>
        <v>5.0374670720492007</v>
      </c>
      <c r="O20" s="44"/>
      <c r="P20" s="44">
        <f>+AVERAGE(P14:P18)</f>
        <v>6.9110923644207505</v>
      </c>
      <c r="Q20" s="44">
        <f>+AVERAGE(Q14:Q18)</f>
        <v>0.40822966732835358</v>
      </c>
      <c r="R20" s="44">
        <f>+AVERAGE(R14:R18)</f>
        <v>5.2890487726114355</v>
      </c>
      <c r="S20" s="44"/>
      <c r="T20" s="44"/>
      <c r="U20" s="71"/>
      <c r="V20" s="48"/>
      <c r="W20" s="2"/>
      <c r="X20" s="2"/>
      <c r="Y20" s="2"/>
      <c r="Z20" s="2"/>
    </row>
    <row r="21" spans="1:26" ht="12.75" customHeight="1" x14ac:dyDescent="0.2">
      <c r="A21" s="2"/>
      <c r="B21" s="42" t="s">
        <v>55</v>
      </c>
      <c r="C21" s="42"/>
      <c r="D21" s="42"/>
      <c r="E21" s="70">
        <f>MEDIAN(E14:E18)</f>
        <v>1.1000000000000001</v>
      </c>
      <c r="F21" s="43"/>
      <c r="G21" s="45">
        <f>MEDIAN(G14:G18)</f>
        <v>6.5199774950685296E-2</v>
      </c>
      <c r="H21" s="45">
        <f>MEDIAN(H14:H18)</f>
        <v>6.6052583263473755E-2</v>
      </c>
      <c r="I21" s="45">
        <f>MEDIAN(I14:I18)</f>
        <v>3.8164292473564697E-2</v>
      </c>
      <c r="J21" s="45">
        <f>IF(ISERROR(MEDIAN(J14:J18)),"NA",MEDIAN(J14:J18))</f>
        <v>0</v>
      </c>
      <c r="K21" s="45"/>
      <c r="L21" s="45">
        <f>MEDIAN(L14:L18)</f>
        <v>0.47351223790233771</v>
      </c>
      <c r="M21" s="44">
        <f>MEDIAN(M14:M18)</f>
        <v>4.2084972759456871</v>
      </c>
      <c r="N21" s="44">
        <f>MEDIAN(N14:N18)</f>
        <v>3.930584939683158</v>
      </c>
      <c r="O21" s="44"/>
      <c r="P21" s="44">
        <f>MEDIAN(P14:P18)</f>
        <v>3.7453559750571759</v>
      </c>
      <c r="Q21" s="44">
        <f>MEDIAN(Q14:Q18)</f>
        <v>1.2678136182987809</v>
      </c>
      <c r="R21" s="44">
        <f>MEDIAN(R14:R18)</f>
        <v>2.6757496225706388</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9"/>
      <c r="W23" s="29"/>
      <c r="X23" s="30"/>
      <c r="Y23" s="2"/>
      <c r="Z23" s="2"/>
    </row>
    <row r="24" spans="1:26" ht="12.75" customHeight="1" x14ac:dyDescent="0.2">
      <c r="A24" s="2"/>
      <c r="B24" s="2" t="str">
        <f>'CompCo 6'!$E$7</f>
        <v>Công ty Cổ phần Tập đoàn Hoa Sen</v>
      </c>
      <c r="C24" s="2" t="str">
        <f>'CompCo 6'!$E$8</f>
        <v>HSG</v>
      </c>
      <c r="D24" s="68">
        <f>'CompCo 6'!$E$10</f>
        <v>46022</v>
      </c>
      <c r="E24" s="69">
        <f>'CompCo 6'!$E$13</f>
        <v>1.1000000000000001</v>
      </c>
      <c r="F24" s="2"/>
      <c r="G24" s="39">
        <f>'CompCo 6'!$E$45</f>
        <v>6.5199774950685296E-2</v>
      </c>
      <c r="H24" s="39">
        <f>'CompCo 6'!$E$46</f>
        <v>6.6052583263473755E-2</v>
      </c>
      <c r="I24" s="39">
        <f>'CompCo 6'!$E$47</f>
        <v>3.8164292473564697E-2</v>
      </c>
      <c r="J24" s="39">
        <f>'CompCo 6'!$E$48</f>
        <v>0.16877637130801687</v>
      </c>
      <c r="K24" s="39"/>
      <c r="L24" s="39">
        <f>'CompCo 6'!$E$51</f>
        <v>0.27974384864270818</v>
      </c>
      <c r="M24" s="67">
        <f>'CompCo 6'!$E$52</f>
        <v>2.3015329755669263</v>
      </c>
      <c r="N24" s="67">
        <f>'CompCo 6'!$E$53</f>
        <v>2.0779414457441376</v>
      </c>
      <c r="O24" s="67"/>
      <c r="P24" s="67">
        <f>'CompCo 6'!$E$54</f>
        <v>10.3377789275191</v>
      </c>
      <c r="Q24" s="67">
        <f>'CompCo 6'!$E$55</f>
        <v>-3.8321648071503187</v>
      </c>
      <c r="R24" s="67">
        <f>'CompCo 6'!$E$56</f>
        <v>5.4588186967337293</v>
      </c>
      <c r="S24" s="37"/>
      <c r="T24" s="67" t="str">
        <f>'CompCo 6'!$E$11</f>
        <v>NA</v>
      </c>
      <c r="U24" s="67" t="str">
        <f>'CompCo 6'!$E$12</f>
        <v>NA</v>
      </c>
      <c r="V24" s="30"/>
      <c r="W24" s="2"/>
      <c r="X24" s="2"/>
      <c r="Y24" s="2"/>
      <c r="Z24" s="2"/>
    </row>
    <row r="25" spans="1:26" ht="12.75" customHeight="1" x14ac:dyDescent="0.2">
      <c r="A25" s="2"/>
      <c r="B25" s="2" t="str">
        <f>'CompCo 7'!$E$7</f>
        <v>Công ty Cổ phần Thép Nam Kim</v>
      </c>
      <c r="C25" s="2" t="str">
        <f>'CompCo 7'!$E$8</f>
        <v>NKG</v>
      </c>
      <c r="D25" s="68">
        <f>'CompCo 7'!$E$10</f>
        <v>46022</v>
      </c>
      <c r="E25" s="69">
        <f>'CompCo 7'!$E$13</f>
        <v>1.1000000000000001</v>
      </c>
      <c r="F25" s="2"/>
      <c r="G25" s="39">
        <f>'CompCo 7'!$E$45</f>
        <v>3.6180414269212625E-2</v>
      </c>
      <c r="H25" s="39">
        <f>'CompCo 7'!$E$46</f>
        <v>2.9188598658770316E-2</v>
      </c>
      <c r="I25" s="39">
        <f>'CompCo 7'!$E$47</f>
        <v>1.3135794205506294E-2</v>
      </c>
      <c r="J25" s="39">
        <f>'CompCo 7'!$E$48</f>
        <v>0</v>
      </c>
      <c r="K25" s="39"/>
      <c r="L25" s="39">
        <f>'CompCo 7'!$E$51</f>
        <v>0.47351223790233771</v>
      </c>
      <c r="M25" s="67">
        <f>'CompCo 7'!$E$52</f>
        <v>8.3476948511104947</v>
      </c>
      <c r="N25" s="67">
        <f>'CompCo 7'!$E$53</f>
        <v>7.3279680429788945</v>
      </c>
      <c r="O25" s="67"/>
      <c r="P25" s="67">
        <f>'CompCo 7'!$E$54</f>
        <v>3.7453559750571759</v>
      </c>
      <c r="Q25" s="67">
        <f>'CompCo 7'!$E$55</f>
        <v>-11.874451187281476</v>
      </c>
      <c r="R25" s="67">
        <f>'CompCo 7'!$E$56</f>
        <v>2.0965279675408048</v>
      </c>
      <c r="S25" s="37"/>
      <c r="T25" s="67" t="str">
        <f>'CompCo 7'!$E$11</f>
        <v>NA</v>
      </c>
      <c r="U25" s="67" t="str">
        <f>'CompCo 7'!$E$12</f>
        <v>NA</v>
      </c>
      <c r="V25" s="30"/>
      <c r="W25" s="2"/>
      <c r="X25" s="2"/>
      <c r="Y25" s="2"/>
      <c r="Z25" s="2"/>
    </row>
    <row r="26" spans="1:26" ht="12.75" customHeight="1" x14ac:dyDescent="0.2">
      <c r="A26" s="2"/>
      <c r="B26" s="2" t="str">
        <f>'CompCo 8'!$E$7</f>
        <v>Công ty Cổ phần Ống thép Việt - Đức VG PIPE</v>
      </c>
      <c r="C26" s="2" t="str">
        <f>'CompCo 8'!$E$8</f>
        <v>VGS</v>
      </c>
      <c r="D26" s="68">
        <f>'CompCo 8'!$E$10</f>
        <v>46022</v>
      </c>
      <c r="E26" s="69">
        <f>'CompCo 8'!$E$13</f>
        <v>1.1000000000000001</v>
      </c>
      <c r="F26" s="2"/>
      <c r="G26" s="39">
        <f>'CompCo 8'!$E$45</f>
        <v>0.15375469854883864</v>
      </c>
      <c r="H26" s="39">
        <f>'CompCo 8'!$E$46</f>
        <v>0.18234336337275348</v>
      </c>
      <c r="I26" s="39">
        <f>'CompCo 8'!$E$47</f>
        <v>9.3071089740432947E-2</v>
      </c>
      <c r="J26" s="39">
        <f>'CompCo 8'!$E$48</f>
        <v>0</v>
      </c>
      <c r="K26" s="39"/>
      <c r="L26" s="39">
        <f>'CompCo 8'!$E$51</f>
        <v>0.30622557279962181</v>
      </c>
      <c r="M26" s="67">
        <f>'CompCo 8'!$E$52</f>
        <v>2.0135016197721871</v>
      </c>
      <c r="N26" s="67">
        <f>'CompCo 8'!$E$53</f>
        <v>1.8010759982897731</v>
      </c>
      <c r="O26" s="67"/>
      <c r="P26" s="67">
        <f>'CompCo 8'!$E$54</f>
        <v>15.828911710102185</v>
      </c>
      <c r="Q26" s="67">
        <f>'CompCo 8'!$E$55</f>
        <v>13.212052847606882</v>
      </c>
      <c r="R26" s="67">
        <f>'CompCo 8'!$E$56</f>
        <v>15.159717199490338</v>
      </c>
      <c r="S26" s="37"/>
      <c r="T26" s="67" t="str">
        <f>'CompCo 8'!$E$11</f>
        <v>NA</v>
      </c>
      <c r="U26" s="67" t="str">
        <f>'CompCo 8'!$E$12</f>
        <v>NA</v>
      </c>
      <c r="V26" s="30"/>
      <c r="W26" s="2"/>
      <c r="X26" s="2"/>
      <c r="Y26" s="2"/>
      <c r="Z26" s="2"/>
    </row>
    <row r="27" spans="1:26" ht="12.75" customHeight="1" x14ac:dyDescent="0.2">
      <c r="A27" s="2"/>
      <c r="B27" s="2" t="str">
        <f>'CompCo 9'!$E$7</f>
        <v>Công ty Cổ phần Đầu tư Thương mại SMC</v>
      </c>
      <c r="C27" s="2" t="str">
        <f>'CompCo 9'!$E$8</f>
        <v>SMC</v>
      </c>
      <c r="D27" s="68">
        <f>'CompCo 9'!$E$10</f>
        <v>46022</v>
      </c>
      <c r="E27" s="69">
        <f>'CompCo 9'!$E$13</f>
        <v>1.1000000000000001</v>
      </c>
      <c r="F27" s="2"/>
      <c r="G27" s="39">
        <f>'CompCo 9'!$E$45</f>
        <v>0.1328055118715076</v>
      </c>
      <c r="H27" s="39">
        <f>'CompCo 9'!$E$46</f>
        <v>0.1982313095639936</v>
      </c>
      <c r="I27" s="39">
        <f>'CompCo 9'!$E$47</f>
        <v>3.9020633414607847E-2</v>
      </c>
      <c r="J27" s="39">
        <f>'CompCo 9'!$E$48</f>
        <v>0</v>
      </c>
      <c r="K27" s="39"/>
      <c r="L27" s="39">
        <f>'CompCo 9'!$E$51</f>
        <v>0.67041851153605958</v>
      </c>
      <c r="M27" s="67">
        <f>'CompCo 9'!$E$52</f>
        <v>4.2084972759456871</v>
      </c>
      <c r="N27" s="67">
        <f>'CompCo 9'!$E$53</f>
        <v>3.930584939683158</v>
      </c>
      <c r="O27" s="67"/>
      <c r="P27" s="67">
        <f>'CompCo 9'!$E$54</f>
        <v>3.281950863147947</v>
      </c>
      <c r="Q27" s="67">
        <f>'CompCo 9'!$E$55</f>
        <v>3.2678978651678996</v>
      </c>
      <c r="R27" s="67">
        <f>'CompCo 9'!$E$56</f>
        <v>2.6757496225706388</v>
      </c>
      <c r="S27" s="37"/>
      <c r="T27" s="67" t="str">
        <f>'CompCo 9'!$E$11</f>
        <v>NA</v>
      </c>
      <c r="U27" s="67" t="str">
        <f>'CompCo 9'!$E$12</f>
        <v>NA</v>
      </c>
      <c r="V27" s="30"/>
      <c r="W27" s="2"/>
      <c r="X27" s="2"/>
      <c r="Y27" s="2"/>
      <c r="Z27" s="2"/>
    </row>
    <row r="28" spans="1:26" ht="12.75" customHeight="1" x14ac:dyDescent="0.2">
      <c r="A28" s="2"/>
      <c r="B28" s="2" t="str">
        <f>'CompCo 10'!$E$7</f>
        <v>Công ty Cổ phần Tập đoàn Thép Tiến Lên</v>
      </c>
      <c r="C28" s="2" t="str">
        <f>'CompCo 10'!$E$8</f>
        <v>TLH</v>
      </c>
      <c r="D28" s="68">
        <f>'CompCo 10'!$E$10</f>
        <v>46022</v>
      </c>
      <c r="E28" s="69">
        <f>'CompCo 10'!$E$13</f>
        <v>1.1000000000000001</v>
      </c>
      <c r="F28" s="2"/>
      <c r="G28" s="39">
        <f>'CompCo 10'!$E$45</f>
        <v>3.3711053842028861E-2</v>
      </c>
      <c r="H28" s="39">
        <f>'CompCo 10'!$E$46</f>
        <v>4.0488770885438877E-3</v>
      </c>
      <c r="I28" s="39">
        <f>'CompCo 10'!$E$47</f>
        <v>1.5060964796114993E-3</v>
      </c>
      <c r="J28" s="39">
        <f>'CompCo 10'!$E$48</f>
        <v>0</v>
      </c>
      <c r="K28" s="39"/>
      <c r="L28" s="39">
        <f>'CompCo 10'!$E$51</f>
        <v>0.5010189503816862</v>
      </c>
      <c r="M28" s="67">
        <f>'CompCo 10'!$E$52</f>
        <v>10.217764864816523</v>
      </c>
      <c r="N28" s="67">
        <f>'CompCo 10'!$E$53</f>
        <v>10.049764933550039</v>
      </c>
      <c r="O28" s="67"/>
      <c r="P28" s="67">
        <f>'CompCo 10'!$E$54</f>
        <v>1.3614643462773435</v>
      </c>
      <c r="Q28" s="67">
        <f>'CompCo 10'!$E$55</f>
        <v>1.2678136182987809</v>
      </c>
      <c r="R28" s="67">
        <f>'CompCo 10'!$E$56</f>
        <v>1.0544303767216658</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54</v>
      </c>
      <c r="C30" s="42"/>
      <c r="D30" s="42"/>
      <c r="E30" s="70">
        <f>+AVERAGE(E24:E28)</f>
        <v>1.1000000000000001</v>
      </c>
      <c r="F30" s="43"/>
      <c r="G30" s="45">
        <f>+AVERAGE(G24:G28)</f>
        <v>8.4330290696454618E-2</v>
      </c>
      <c r="H30" s="45">
        <f>+AVERAGE(H24:H28)</f>
        <v>9.5972946389507013E-2</v>
      </c>
      <c r="I30" s="45">
        <f>+AVERAGE(I24:I28)</f>
        <v>3.6979581262744657E-2</v>
      </c>
      <c r="J30" s="45">
        <f>IF(ISERROR(AVERAGE(J24:J28)),"NA",AVERAGE(J24:J28))</f>
        <v>3.3755274261603373E-2</v>
      </c>
      <c r="K30" s="45"/>
      <c r="L30" s="45">
        <f>+AVERAGE(L24:L28)</f>
        <v>0.44618382425248271</v>
      </c>
      <c r="M30" s="44">
        <f>+AVERAGE(M24:M28)</f>
        <v>5.4177983174423634</v>
      </c>
      <c r="N30" s="44">
        <f>+AVERAGE(N24:N28)</f>
        <v>5.0374670720492007</v>
      </c>
      <c r="O30" s="44"/>
      <c r="P30" s="44">
        <f>+AVERAGE(P24:P28)</f>
        <v>6.9110923644207505</v>
      </c>
      <c r="Q30" s="44">
        <f>+AVERAGE(Q24:Q28)</f>
        <v>0.40822966732835358</v>
      </c>
      <c r="R30" s="44">
        <f>+AVERAGE(R24:R28)</f>
        <v>5.2890487726114355</v>
      </c>
      <c r="S30" s="44"/>
      <c r="T30" s="44"/>
      <c r="U30" s="71"/>
      <c r="V30" s="48"/>
      <c r="W30" s="2"/>
      <c r="X30" s="2"/>
      <c r="Y30" s="2"/>
      <c r="Z30" s="2"/>
    </row>
    <row r="31" spans="1:26" ht="12.75" customHeight="1" x14ac:dyDescent="0.2">
      <c r="A31" s="2"/>
      <c r="B31" s="42" t="s">
        <v>55</v>
      </c>
      <c r="C31" s="42"/>
      <c r="D31" s="42"/>
      <c r="E31" s="70">
        <f>MEDIAN(E24:E28)</f>
        <v>1.1000000000000001</v>
      </c>
      <c r="F31" s="43"/>
      <c r="G31" s="45">
        <f>MEDIAN(G24:G28)</f>
        <v>6.5199774950685296E-2</v>
      </c>
      <c r="H31" s="45">
        <f>MEDIAN(H24:H28)</f>
        <v>6.6052583263473755E-2</v>
      </c>
      <c r="I31" s="45">
        <f>MEDIAN(I24:I28)</f>
        <v>3.8164292473564697E-2</v>
      </c>
      <c r="J31" s="45">
        <f>IF(ISERROR(MEDIAN(J24:J28)),"NA",MEDIAN(J24:J28))</f>
        <v>0</v>
      </c>
      <c r="K31" s="45"/>
      <c r="L31" s="45">
        <f>MEDIAN(L24:L28)</f>
        <v>0.47351223790233771</v>
      </c>
      <c r="M31" s="44">
        <f>MEDIAN(M24:M28)</f>
        <v>4.2084972759456871</v>
      </c>
      <c r="N31" s="44">
        <f>MEDIAN(N24:N28)</f>
        <v>3.930584939683158</v>
      </c>
      <c r="O31" s="44"/>
      <c r="P31" s="44">
        <f>MEDIAN(P24:P28)</f>
        <v>3.7453559750571759</v>
      </c>
      <c r="Q31" s="44">
        <f>MEDIAN(Q24:Q28)</f>
        <v>1.2678136182987809</v>
      </c>
      <c r="R31" s="44">
        <f>MEDIAN(R24:R28)</f>
        <v>2.6757496225706388</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9"/>
      <c r="W33" s="29"/>
      <c r="X33" s="2"/>
      <c r="Y33" s="2"/>
      <c r="Z33" s="2"/>
    </row>
    <row r="34" spans="1:26" ht="12.75" customHeight="1" x14ac:dyDescent="0.2">
      <c r="A34" s="2"/>
      <c r="B34" s="2" t="str">
        <f>'CompCo 11'!$E$7</f>
        <v>Công ty Cổ phần Tập đoàn Hoa Sen</v>
      </c>
      <c r="C34" s="2" t="str">
        <f>'CompCo 11'!$E$8</f>
        <v>HSG</v>
      </c>
      <c r="D34" s="68">
        <f>'CompCo 11'!$E$10</f>
        <v>46022</v>
      </c>
      <c r="E34" s="69">
        <f>'CompCo 11'!$E$13</f>
        <v>1.1000000000000001</v>
      </c>
      <c r="F34" s="2"/>
      <c r="G34" s="39">
        <f>'CompCo 11'!$E$45</f>
        <v>6.5199774950685296E-2</v>
      </c>
      <c r="H34" s="39">
        <f>'CompCo 11'!$E$46</f>
        <v>6.6052583263473755E-2</v>
      </c>
      <c r="I34" s="39">
        <f>'CompCo 11'!$E$47</f>
        <v>3.8164292473564697E-2</v>
      </c>
      <c r="J34" s="39">
        <f>'CompCo 11'!$E$48</f>
        <v>0.16877637130801687</v>
      </c>
      <c r="K34" s="39"/>
      <c r="L34" s="39">
        <f>'CompCo 11'!$E$51</f>
        <v>0.27974384864270818</v>
      </c>
      <c r="M34" s="67">
        <f>'CompCo 11'!$E$52</f>
        <v>2.3015329755669263</v>
      </c>
      <c r="N34" s="67">
        <f>'CompCo 11'!$E$53</f>
        <v>2.0779414457441376</v>
      </c>
      <c r="O34" s="67"/>
      <c r="P34" s="67">
        <f>'CompCo 11'!$E$54</f>
        <v>10.3377789275191</v>
      </c>
      <c r="Q34" s="67">
        <f>'CompCo 11'!$E$55</f>
        <v>-3.8321648071503187</v>
      </c>
      <c r="R34" s="67">
        <f>'CompCo 11'!$E$56</f>
        <v>5.4588186967337293</v>
      </c>
      <c r="S34" s="37"/>
      <c r="T34" s="67" t="str">
        <f>'CompCo 11'!$E$11</f>
        <v>NA</v>
      </c>
      <c r="U34" s="67" t="str">
        <f>'CompCo 11'!$E$12</f>
        <v>NA</v>
      </c>
      <c r="V34" s="30"/>
      <c r="W34" s="2"/>
      <c r="X34" s="2"/>
      <c r="Y34" s="2"/>
      <c r="Z34" s="2"/>
    </row>
    <row r="35" spans="1:26" ht="12.75" customHeight="1" x14ac:dyDescent="0.2">
      <c r="A35" s="2"/>
      <c r="B35" s="2" t="str">
        <f>'CompCo 12'!$E$7</f>
        <v>Công ty Cổ phần Thép Nam Kim</v>
      </c>
      <c r="C35" s="2" t="str">
        <f>'CompCo 12'!$E$8</f>
        <v>NKG</v>
      </c>
      <c r="D35" s="68">
        <f>'CompCo 12'!$E$10</f>
        <v>46022</v>
      </c>
      <c r="E35" s="69">
        <f>'CompCo 12'!$E$13</f>
        <v>1.1000000000000001</v>
      </c>
      <c r="F35" s="2"/>
      <c r="G35" s="39">
        <f>'CompCo 12'!$E$45</f>
        <v>3.6180414269212625E-2</v>
      </c>
      <c r="H35" s="39">
        <f>'CompCo 12'!$E$46</f>
        <v>2.9188598658770316E-2</v>
      </c>
      <c r="I35" s="39">
        <f>'CompCo 12'!$E$47</f>
        <v>1.3135794205506294E-2</v>
      </c>
      <c r="J35" s="39">
        <f>'CompCo 12'!$E$48</f>
        <v>0</v>
      </c>
      <c r="K35" s="39"/>
      <c r="L35" s="39">
        <f>'CompCo 12'!$E$51</f>
        <v>0.47351223790233771</v>
      </c>
      <c r="M35" s="67">
        <f>'CompCo 12'!$E$52</f>
        <v>8.3476948511104947</v>
      </c>
      <c r="N35" s="67">
        <f>'CompCo 12'!$E$53</f>
        <v>7.3279680429788945</v>
      </c>
      <c r="O35" s="67"/>
      <c r="P35" s="67">
        <f>'CompCo 12'!$E$54</f>
        <v>3.7453559750571759</v>
      </c>
      <c r="Q35" s="67">
        <f>'CompCo 12'!$E$55</f>
        <v>-11.874451187281476</v>
      </c>
      <c r="R35" s="67">
        <f>'CompCo 12'!$E$56</f>
        <v>2.0965279675408048</v>
      </c>
      <c r="S35" s="37"/>
      <c r="T35" s="67" t="str">
        <f>'CompCo 12'!$E$11</f>
        <v>NA</v>
      </c>
      <c r="U35" s="67" t="str">
        <f>'CompCo 12'!$E$12</f>
        <v>NA</v>
      </c>
      <c r="V35" s="30"/>
      <c r="W35" s="2"/>
      <c r="X35" s="2"/>
      <c r="Y35" s="2"/>
      <c r="Z35" s="2"/>
    </row>
    <row r="36" spans="1:26" ht="12.75" customHeight="1" x14ac:dyDescent="0.2">
      <c r="A36" s="2"/>
      <c r="B36" s="2" t="str">
        <f>'CompCo 13'!$E$7</f>
        <v>Công ty Cổ phần Ống thép Việt - Đức VG PIPE</v>
      </c>
      <c r="C36" s="2" t="str">
        <f>'CompCo 13'!$E$8</f>
        <v>VGS</v>
      </c>
      <c r="D36" s="68">
        <f>'CompCo 13'!$E$10</f>
        <v>46022</v>
      </c>
      <c r="E36" s="69">
        <f>'CompCo 13'!$E$13</f>
        <v>1.1000000000000001</v>
      </c>
      <c r="F36" s="2"/>
      <c r="G36" s="39">
        <f>'CompCo 13'!$E$45</f>
        <v>0.15375469854883864</v>
      </c>
      <c r="H36" s="39">
        <f>'CompCo 13'!$E$46</f>
        <v>0.18234336337275348</v>
      </c>
      <c r="I36" s="39">
        <f>'CompCo 13'!$E$47</f>
        <v>9.3071089740432947E-2</v>
      </c>
      <c r="J36" s="39">
        <f>'CompCo 13'!$E$48</f>
        <v>0</v>
      </c>
      <c r="K36" s="39"/>
      <c r="L36" s="39">
        <f>'CompCo 13'!$E$51</f>
        <v>0.30622557279962181</v>
      </c>
      <c r="M36" s="67">
        <f>'CompCo 13'!$E$52</f>
        <v>2.0135016197721871</v>
      </c>
      <c r="N36" s="67">
        <f>'CompCo 13'!$E$53</f>
        <v>1.8010759982897731</v>
      </c>
      <c r="O36" s="67"/>
      <c r="P36" s="67">
        <f>'CompCo 13'!$E$54</f>
        <v>15.828911710102185</v>
      </c>
      <c r="Q36" s="67">
        <f>'CompCo 13'!$E$55</f>
        <v>13.212052847606882</v>
      </c>
      <c r="R36" s="67">
        <f>'CompCo 13'!$E$56</f>
        <v>15.159717199490338</v>
      </c>
      <c r="S36" s="37"/>
      <c r="T36" s="67" t="str">
        <f>'CompCo 13'!$E$11</f>
        <v>NA</v>
      </c>
      <c r="U36" s="67" t="str">
        <f>'CompCo 13'!$E$12</f>
        <v>NA</v>
      </c>
      <c r="V36" s="30"/>
      <c r="W36" s="2"/>
      <c r="X36" s="2"/>
      <c r="Y36" s="2"/>
      <c r="Z36" s="2"/>
    </row>
    <row r="37" spans="1:26" ht="12.75" customHeight="1" x14ac:dyDescent="0.2">
      <c r="A37" s="2"/>
      <c r="B37" s="2" t="str">
        <f>'CompCo 14'!$E$7</f>
        <v>Công ty Cổ phần Đầu tư Thương mại SMC</v>
      </c>
      <c r="C37" s="2" t="str">
        <f>'CompCo 14'!$E$8</f>
        <v>SMC</v>
      </c>
      <c r="D37" s="68">
        <f>'CompCo 14'!$E$10</f>
        <v>46022</v>
      </c>
      <c r="E37" s="69">
        <f>'CompCo 14'!$E$13</f>
        <v>1.1000000000000001</v>
      </c>
      <c r="F37" s="2"/>
      <c r="G37" s="39">
        <f>'CompCo 14'!$E$45</f>
        <v>0.1328055118715076</v>
      </c>
      <c r="H37" s="39">
        <f>'CompCo 14'!$E$46</f>
        <v>0.1982313095639936</v>
      </c>
      <c r="I37" s="39">
        <f>'CompCo 14'!$E$47</f>
        <v>3.9020633414607847E-2</v>
      </c>
      <c r="J37" s="39">
        <f>'CompCo 14'!$E$48</f>
        <v>0</v>
      </c>
      <c r="K37" s="39"/>
      <c r="L37" s="39">
        <f>'CompCo 14'!$E$51</f>
        <v>0.67041851153605958</v>
      </c>
      <c r="M37" s="67">
        <f>'CompCo 14'!$E$52</f>
        <v>4.2084972759456871</v>
      </c>
      <c r="N37" s="67">
        <f>'CompCo 14'!$E$53</f>
        <v>3.930584939683158</v>
      </c>
      <c r="O37" s="67"/>
      <c r="P37" s="67">
        <f>'CompCo 14'!$E$54</f>
        <v>3.281950863147947</v>
      </c>
      <c r="Q37" s="67">
        <f>'CompCo 14'!$E$55</f>
        <v>3.2678978651678996</v>
      </c>
      <c r="R37" s="67">
        <f>'CompCo 14'!$E$56</f>
        <v>2.6757496225706388</v>
      </c>
      <c r="S37" s="37"/>
      <c r="T37" s="67" t="str">
        <f>'CompCo 14'!$E$11</f>
        <v>NA</v>
      </c>
      <c r="U37" s="67" t="str">
        <f>'CompCo 14'!$E$12</f>
        <v>NA</v>
      </c>
      <c r="V37" s="30"/>
      <c r="W37" s="2"/>
      <c r="X37" s="2"/>
      <c r="Y37" s="2"/>
      <c r="Z37" s="2"/>
    </row>
    <row r="38" spans="1:26" ht="12.75" customHeight="1" x14ac:dyDescent="0.2">
      <c r="A38" s="2" t="s">
        <v>58</v>
      </c>
      <c r="B38" s="2" t="str">
        <f>'CompCo 15'!$E$7</f>
        <v>Công ty Cổ phần Tập đoàn Thép Tiến Lên</v>
      </c>
      <c r="C38" s="2" t="str">
        <f>'CompCo 15'!$E$8</f>
        <v>TLH</v>
      </c>
      <c r="D38" s="68">
        <f>'CompCo 15'!$E$10</f>
        <v>46022</v>
      </c>
      <c r="E38" s="69">
        <f>'CompCo 15'!$E$13</f>
        <v>1.1000000000000001</v>
      </c>
      <c r="F38" s="2"/>
      <c r="G38" s="39">
        <f>'CompCo 15'!$E$45</f>
        <v>3.3711053842028861E-2</v>
      </c>
      <c r="H38" s="39">
        <f>'CompCo 15'!$E$46</f>
        <v>4.0488770885438877E-3</v>
      </c>
      <c r="I38" s="39">
        <f>'CompCo 15'!$E$47</f>
        <v>1.5060964796114993E-3</v>
      </c>
      <c r="J38" s="39">
        <f>'CompCo 15'!$E$48</f>
        <v>0</v>
      </c>
      <c r="K38" s="39"/>
      <c r="L38" s="39">
        <f>'CompCo 15'!$E$51</f>
        <v>0.5010189503816862</v>
      </c>
      <c r="M38" s="67">
        <f>'CompCo 15'!$E$52</f>
        <v>10.217764864816523</v>
      </c>
      <c r="N38" s="67">
        <f>'CompCo 15'!$E$53</f>
        <v>10.049764933550039</v>
      </c>
      <c r="O38" s="67"/>
      <c r="P38" s="67">
        <f>'CompCo 15'!$E$54</f>
        <v>1.3614643462773435</v>
      </c>
      <c r="Q38" s="67">
        <f>'CompCo 15'!$E$55</f>
        <v>1.2678136182987809</v>
      </c>
      <c r="R38" s="67">
        <f>'CompCo 15'!$E$56</f>
        <v>1.0544303767216658</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54</v>
      </c>
      <c r="C40" s="42"/>
      <c r="D40" s="42"/>
      <c r="E40" s="70">
        <f>+AVERAGE(E34:E38)</f>
        <v>1.1000000000000001</v>
      </c>
      <c r="F40" s="43"/>
      <c r="G40" s="45">
        <f>+AVERAGE(G34:G38)</f>
        <v>8.4330290696454618E-2</v>
      </c>
      <c r="H40" s="45">
        <f>+AVERAGE(H34:H38)</f>
        <v>9.5972946389507013E-2</v>
      </c>
      <c r="I40" s="45">
        <f>+AVERAGE(I34:I38)</f>
        <v>3.6979581262744657E-2</v>
      </c>
      <c r="J40" s="45">
        <f>IF(ISERROR(AVERAGE(J34:J38)),"NA",AVERAGE(J34:J38))</f>
        <v>3.3755274261603373E-2</v>
      </c>
      <c r="K40" s="45"/>
      <c r="L40" s="45">
        <f>+AVERAGE(L34:L38)</f>
        <v>0.44618382425248271</v>
      </c>
      <c r="M40" s="44">
        <f>+AVERAGE(M34:M38)</f>
        <v>5.4177983174423634</v>
      </c>
      <c r="N40" s="44">
        <f>+AVERAGE(N34:N38)</f>
        <v>5.0374670720492007</v>
      </c>
      <c r="O40" s="44"/>
      <c r="P40" s="44">
        <f>+AVERAGE(P34:P38)</f>
        <v>6.9110923644207505</v>
      </c>
      <c r="Q40" s="44">
        <f>+AVERAGE(Q34:Q38)</f>
        <v>0.40822966732835358</v>
      </c>
      <c r="R40" s="44">
        <f>+AVERAGE(R34:R38)</f>
        <v>5.2890487726114355</v>
      </c>
      <c r="S40" s="44"/>
      <c r="T40" s="44"/>
      <c r="U40" s="71"/>
      <c r="V40" s="48"/>
      <c r="W40" s="2"/>
      <c r="X40" s="2"/>
      <c r="Y40" s="2"/>
      <c r="Z40" s="2"/>
    </row>
    <row r="41" spans="1:26" ht="12.75" customHeight="1" x14ac:dyDescent="0.2">
      <c r="A41" s="2"/>
      <c r="B41" s="42" t="s">
        <v>55</v>
      </c>
      <c r="C41" s="42"/>
      <c r="D41" s="42"/>
      <c r="E41" s="70">
        <f>MEDIAN(E34:E38)</f>
        <v>1.1000000000000001</v>
      </c>
      <c r="F41" s="43"/>
      <c r="G41" s="45">
        <f>MEDIAN(G34:G38)</f>
        <v>6.5199774950685296E-2</v>
      </c>
      <c r="H41" s="45">
        <f>MEDIAN(H34:H38)</f>
        <v>6.6052583263473755E-2</v>
      </c>
      <c r="I41" s="45">
        <f>MEDIAN(I34:I38)</f>
        <v>3.8164292473564697E-2</v>
      </c>
      <c r="J41" s="45">
        <f>IF(ISERROR(MEDIAN(J34:J38)),"NA",MEDIAN(J34:J38))</f>
        <v>0</v>
      </c>
      <c r="K41" s="45"/>
      <c r="L41" s="45">
        <f>MEDIAN(L34:L38)</f>
        <v>0.47351223790233771</v>
      </c>
      <c r="M41" s="44">
        <f>MEDIAN(M34:M38)</f>
        <v>4.2084972759456871</v>
      </c>
      <c r="N41" s="44">
        <f>MEDIAN(N34:N38)</f>
        <v>3.930584939683158</v>
      </c>
      <c r="O41" s="44"/>
      <c r="P41" s="44">
        <f>MEDIAN(P34:P38)</f>
        <v>3.7453559750571759</v>
      </c>
      <c r="Q41" s="44">
        <f>MEDIAN(Q34:Q38)</f>
        <v>1.2678136182987809</v>
      </c>
      <c r="R41" s="44">
        <f>MEDIAN(R34:R38)</f>
        <v>2.6757496225706388</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54</v>
      </c>
      <c r="C45" s="42"/>
      <c r="D45" s="42"/>
      <c r="E45" s="70">
        <f>+AVERAGE(E24:E28,E14:E18,E34:E38)</f>
        <v>1.0999999999999999</v>
      </c>
      <c r="F45" s="43"/>
      <c r="G45" s="45">
        <f>+AVERAGE(G24:G28,G14:G18,G34:G38)</f>
        <v>8.4330290696454618E-2</v>
      </c>
      <c r="H45" s="45">
        <f>+AVERAGE(H24:H28,H14:H18,H34:H38)</f>
        <v>9.5972946389507013E-2</v>
      </c>
      <c r="I45" s="45">
        <f>+AVERAGE(I24:I28,I14:I18,I34:I38)</f>
        <v>3.6979581262744657E-2</v>
      </c>
      <c r="J45" s="45">
        <f>IF(ISERROR(AVERAGE(J24:J28,J14:J18,J34:J38)),"NA",AVERAGE(J24:J28,J14:J18,J34:J38))</f>
        <v>3.375527426160338E-2</v>
      </c>
      <c r="K45" s="45"/>
      <c r="L45" s="45">
        <f>+AVERAGE(L24:L28,L14:L18,L34:L38)</f>
        <v>0.44618382425248265</v>
      </c>
      <c r="M45" s="44">
        <f>+AVERAGE(M24:M28,M14:M18,M34:M38)</f>
        <v>5.4177983174423634</v>
      </c>
      <c r="N45" s="44">
        <f>+AVERAGE(N24:N28,N14:N18,N34:N38)</f>
        <v>5.0374670720492007</v>
      </c>
      <c r="O45" s="44"/>
      <c r="P45" s="44">
        <f>+AVERAGE(P24:P28,P14:P18,P34:P38)</f>
        <v>6.9110923644207496</v>
      </c>
      <c r="Q45" s="44">
        <f>+AVERAGE(Q24:Q28,Q14:Q18,Q34:Q38)</f>
        <v>0.4082296673283537</v>
      </c>
      <c r="R45" s="44">
        <f>+AVERAGE(R24:R28,R14:R18,R34:R38)</f>
        <v>5.2890487726114364</v>
      </c>
      <c r="S45" s="74"/>
      <c r="T45" s="74"/>
      <c r="U45" s="75"/>
      <c r="V45" s="76"/>
      <c r="W45" s="2"/>
      <c r="X45" s="2"/>
      <c r="Y45" s="2"/>
      <c r="Z45" s="2"/>
    </row>
    <row r="46" spans="1:26" ht="12.75" customHeight="1" x14ac:dyDescent="0.2">
      <c r="A46" s="2"/>
      <c r="B46" s="42" t="s">
        <v>55</v>
      </c>
      <c r="C46" s="42"/>
      <c r="D46" s="42"/>
      <c r="E46" s="70">
        <f>MEDIAN(E24:E28,E14:E18,E34:E38)</f>
        <v>1.1000000000000001</v>
      </c>
      <c r="F46" s="43"/>
      <c r="G46" s="45">
        <f>MEDIAN(G24:G28,G14:G18,G34:G38)</f>
        <v>6.5199774950685296E-2</v>
      </c>
      <c r="H46" s="45">
        <f>MEDIAN(H24:H28,H14:H18,H34:H38)</f>
        <v>6.6052583263473755E-2</v>
      </c>
      <c r="I46" s="45">
        <f>MEDIAN(I24:I28,I14:I18,I34:I38)</f>
        <v>3.8164292473564697E-2</v>
      </c>
      <c r="J46" s="45">
        <f>IF(ISERROR(MEDIAN(J24:J28,J14:J18,J34:J38)),"NA",MEDIAN(J24:J28,J14:J18,J34:J38))</f>
        <v>0</v>
      </c>
      <c r="K46" s="45"/>
      <c r="L46" s="45">
        <f>MEDIAN(L24:L28,L14:L18,L34:L38)</f>
        <v>0.47351223790233771</v>
      </c>
      <c r="M46" s="44">
        <f>MEDIAN(M24:M28,M14:M18,M34:M38)</f>
        <v>4.2084972759456871</v>
      </c>
      <c r="N46" s="44">
        <f>MEDIAN(N24:N28,N14:N18,N34:N38)</f>
        <v>3.930584939683158</v>
      </c>
      <c r="O46" s="44"/>
      <c r="P46" s="44">
        <f>MEDIAN(P24:P28,P14:P18,P34:P38)</f>
        <v>3.7453559750571759</v>
      </c>
      <c r="Q46" s="44">
        <f>MEDIAN(Q24:Q28,Q14:Q18,Q34:Q38)</f>
        <v>1.2678136182987809</v>
      </c>
      <c r="R46" s="44">
        <f>MEDIAN(R24:R28,R14:R18,R34:R38)</f>
        <v>2.6757496225706388</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60</v>
      </c>
      <c r="C48" s="42"/>
      <c r="D48" s="42"/>
      <c r="E48" s="70">
        <f>MAX(E24:E28,E14:E18,E34:E38)</f>
        <v>1.1000000000000001</v>
      </c>
      <c r="F48" s="43"/>
      <c r="G48" s="45">
        <f>MAX(G24:G28,G14:G18,G34:G38)</f>
        <v>0.15375469854883864</v>
      </c>
      <c r="H48" s="45">
        <f>MAX(H24:H28,H14:H18,H34:H38)</f>
        <v>0.1982313095639936</v>
      </c>
      <c r="I48" s="45">
        <f>MAX(I24:I28,I14:I18,I34:I38)</f>
        <v>9.3071089740432947E-2</v>
      </c>
      <c r="J48" s="45">
        <f>MAX(J24:J28,J14:J18,J34:J38)</f>
        <v>0.16877637130801687</v>
      </c>
      <c r="K48" s="45"/>
      <c r="L48" s="45">
        <f>MAX(L24:L28,L14:L18,L34:L38)</f>
        <v>0.67041851153605958</v>
      </c>
      <c r="M48" s="44">
        <f>MAX(M24:M28,M14:M18,M34:M38)</f>
        <v>10.217764864816523</v>
      </c>
      <c r="N48" s="44">
        <f>MAX(N24:N28,N14:N18,N34:N38)</f>
        <v>10.049764933550039</v>
      </c>
      <c r="O48" s="44"/>
      <c r="P48" s="44">
        <f>MAX(P24:P28,P14:P18,P34:P38)</f>
        <v>15.828911710102185</v>
      </c>
      <c r="Q48" s="44">
        <f>MAX(Q24:Q28,Q14:Q18,Q34:Q38)</f>
        <v>13.212052847606882</v>
      </c>
      <c r="R48" s="44">
        <f>MAX(R24:R28,R14:R18,R34:R38)</f>
        <v>15.159717199490338</v>
      </c>
      <c r="S48" s="74"/>
      <c r="T48" s="74"/>
      <c r="U48" s="75"/>
      <c r="V48" s="76"/>
      <c r="W48" s="2"/>
      <c r="X48" s="2"/>
      <c r="Y48" s="2"/>
      <c r="Z48" s="2"/>
    </row>
    <row r="49" spans="1:26" ht="12.75" customHeight="1" x14ac:dyDescent="0.2">
      <c r="A49" s="2"/>
      <c r="B49" s="42" t="s">
        <v>61</v>
      </c>
      <c r="C49" s="42"/>
      <c r="D49" s="42"/>
      <c r="E49" s="70">
        <f>MIN(E24:E28,E14:E18,E34:E38)</f>
        <v>1.1000000000000001</v>
      </c>
      <c r="F49" s="43"/>
      <c r="G49" s="45">
        <f>MIN(G24:G28,G14:G18,G34:G38)</f>
        <v>3.3711053842028861E-2</v>
      </c>
      <c r="H49" s="45">
        <f>MIN(H24:H28,H14:H18,H34:H38)</f>
        <v>4.0488770885438877E-3</v>
      </c>
      <c r="I49" s="45">
        <f>MIN(I24:I28,I14:I18,I34:I38)</f>
        <v>1.5060964796114993E-3</v>
      </c>
      <c r="J49" s="45">
        <f>MIN(J24:J28,J14:J18,J34:J38)</f>
        <v>0</v>
      </c>
      <c r="K49" s="45"/>
      <c r="L49" s="45">
        <f>MIN(L24:L28,L14:L18,L34:L38)</f>
        <v>0.27974384864270818</v>
      </c>
      <c r="M49" s="44">
        <f>MIN(M24:M28,M14:M18,M34:M38)</f>
        <v>2.0135016197721871</v>
      </c>
      <c r="N49" s="44">
        <f>MIN(N24:N28,N14:N18,N34:N38)</f>
        <v>1.8010759982897731</v>
      </c>
      <c r="O49" s="44"/>
      <c r="P49" s="44">
        <f>MIN(P24:P28,P14:P18,P34:P38)</f>
        <v>1.3614643462773435</v>
      </c>
      <c r="Q49" s="44">
        <f>MIN(Q24:Q28,Q14:Q18,Q34:Q38)</f>
        <v>-11.874451187281476</v>
      </c>
      <c r="R49" s="44">
        <f>MIN(R24:R28,R14:R18,R34:R38)</f>
        <v>1.0544303767216658</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62</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63</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25</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90</v>
      </c>
      <c r="B2" s="18"/>
      <c r="C2" s="18"/>
      <c r="D2" s="18"/>
      <c r="E2" s="18"/>
      <c r="F2" s="18"/>
      <c r="G2" s="169"/>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27</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91</v>
      </c>
      <c r="E6" s="27" t="s">
        <v>92</v>
      </c>
      <c r="F6" s="28"/>
      <c r="G6" s="28"/>
      <c r="H6" s="80"/>
      <c r="I6" s="270" t="s">
        <v>93</v>
      </c>
      <c r="J6" s="269"/>
      <c r="K6" s="269"/>
      <c r="L6" s="269"/>
      <c r="M6" s="269"/>
      <c r="N6" s="269"/>
      <c r="O6" s="269"/>
      <c r="P6" s="269"/>
      <c r="Q6" s="269"/>
      <c r="R6" s="269"/>
      <c r="S6" s="269"/>
      <c r="T6" s="28"/>
      <c r="U6" s="27" t="s">
        <v>30</v>
      </c>
      <c r="V6" s="27" t="s">
        <v>94</v>
      </c>
      <c r="W6" s="27"/>
      <c r="X6" s="270" t="s">
        <v>95</v>
      </c>
      <c r="Y6" s="269"/>
      <c r="Z6" s="269"/>
      <c r="AA6" s="28"/>
      <c r="AB6" s="27" t="s">
        <v>52</v>
      </c>
      <c r="AC6" s="28"/>
    </row>
    <row r="7" spans="1:29" ht="12.75" customHeight="1" x14ac:dyDescent="0.2">
      <c r="A7" s="27"/>
      <c r="B7" s="28"/>
      <c r="C7" s="27"/>
      <c r="D7" s="27" t="s">
        <v>96</v>
      </c>
      <c r="E7" s="27" t="s">
        <v>97</v>
      </c>
      <c r="F7" s="27" t="s">
        <v>44</v>
      </c>
      <c r="G7" s="27" t="s">
        <v>29</v>
      </c>
      <c r="H7" s="80"/>
      <c r="I7" s="27" t="s">
        <v>30</v>
      </c>
      <c r="J7" s="27" t="s">
        <v>98</v>
      </c>
      <c r="K7" s="27" t="s">
        <v>99</v>
      </c>
      <c r="L7" s="27"/>
      <c r="M7" s="27" t="s">
        <v>30</v>
      </c>
      <c r="N7" s="27" t="s">
        <v>98</v>
      </c>
      <c r="O7" s="27" t="s">
        <v>99</v>
      </c>
      <c r="P7" s="27"/>
      <c r="Q7" s="27" t="s">
        <v>30</v>
      </c>
      <c r="R7" s="27" t="s">
        <v>98</v>
      </c>
      <c r="S7" s="27" t="s">
        <v>99</v>
      </c>
      <c r="T7" s="27"/>
      <c r="U7" s="27" t="s">
        <v>42</v>
      </c>
      <c r="V7" s="27" t="s">
        <v>72</v>
      </c>
      <c r="W7" s="27"/>
      <c r="X7" s="27" t="s">
        <v>30</v>
      </c>
      <c r="Y7" s="27" t="s">
        <v>98</v>
      </c>
      <c r="Z7" s="27" t="s">
        <v>99</v>
      </c>
      <c r="AA7" s="28"/>
      <c r="AB7" s="27" t="s">
        <v>43</v>
      </c>
      <c r="AC7" s="28"/>
    </row>
    <row r="8" spans="1:29" ht="15" customHeight="1" x14ac:dyDescent="0.2">
      <c r="A8" s="170"/>
      <c r="B8" s="83" t="s">
        <v>5</v>
      </c>
      <c r="C8" s="152" t="s">
        <v>31</v>
      </c>
      <c r="D8" s="170" t="s">
        <v>100</v>
      </c>
      <c r="E8" s="84" t="s">
        <v>60</v>
      </c>
      <c r="F8" s="152" t="s">
        <v>33</v>
      </c>
      <c r="G8" s="152" t="s">
        <v>33</v>
      </c>
      <c r="H8" s="85"/>
      <c r="I8" s="152" t="s">
        <v>34</v>
      </c>
      <c r="J8" s="152" t="s">
        <v>34</v>
      </c>
      <c r="K8" s="152" t="s">
        <v>34</v>
      </c>
      <c r="L8" s="152"/>
      <c r="M8" s="152" t="s">
        <v>42</v>
      </c>
      <c r="N8" s="152" t="s">
        <v>42</v>
      </c>
      <c r="O8" s="152" t="s">
        <v>42</v>
      </c>
      <c r="P8" s="152"/>
      <c r="Q8" s="152" t="s">
        <v>46</v>
      </c>
      <c r="R8" s="152" t="s">
        <v>46</v>
      </c>
      <c r="S8" s="152" t="s">
        <v>46</v>
      </c>
      <c r="T8" s="152"/>
      <c r="U8" s="152" t="s">
        <v>101</v>
      </c>
      <c r="V8" s="152" t="s">
        <v>42</v>
      </c>
      <c r="W8" s="152"/>
      <c r="X8" s="152" t="s">
        <v>43</v>
      </c>
      <c r="Y8" s="152" t="s">
        <v>43</v>
      </c>
      <c r="Z8" s="152" t="s">
        <v>43</v>
      </c>
      <c r="AA8" s="28"/>
      <c r="AB8" s="152" t="s">
        <v>102</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Công ty Cổ phần Tập đoàn Hòa Phát</v>
      </c>
      <c r="C10" s="28" t="str">
        <f>+TargetCo!$E$8</f>
        <v>HPG</v>
      </c>
      <c r="D10" s="171">
        <f>+TargetCo!$E$17</f>
        <v>23600</v>
      </c>
      <c r="E10" s="90">
        <f>+TargetCo!$E$18</f>
        <v>0.85690425184270724</v>
      </c>
      <c r="F10" s="31">
        <f>+TargetCo!$E$24</f>
        <v>199253962.67199999</v>
      </c>
      <c r="G10" s="31">
        <f>+TargetCo!$E$30</f>
        <v>283188981.23499995</v>
      </c>
      <c r="H10" s="28"/>
      <c r="I10" s="48">
        <f>+TargetCo!$C$35</f>
        <v>1.8139640370067815</v>
      </c>
      <c r="J10" s="48">
        <f>+TargetCo!$D$35</f>
        <v>1.5997654030530017</v>
      </c>
      <c r="K10" s="48">
        <f>+TargetCo!$E$35</f>
        <v>1.4414990452968073</v>
      </c>
      <c r="L10" s="48"/>
      <c r="M10" s="91">
        <f>+TargetCo!$C$37</f>
        <v>9.5587567682129357</v>
      </c>
      <c r="N10" s="48">
        <f>+TargetCo!$D$37</f>
        <v>8.430028414024509</v>
      </c>
      <c r="O10" s="92">
        <f>+TargetCo!$E$37</f>
        <v>7.5960374486475146</v>
      </c>
      <c r="P10" s="48"/>
      <c r="Q10" s="48">
        <f>+TargetCo!$C$39</f>
        <v>13.386101929066859</v>
      </c>
      <c r="R10" s="48">
        <f>+TargetCo!$D$39</f>
        <v>11.80542850408348</v>
      </c>
      <c r="S10" s="48">
        <f>+TargetCo!$E$39</f>
        <v>10.637505902727822</v>
      </c>
      <c r="T10" s="48"/>
      <c r="U10" s="33">
        <f>+TargetCo!$N$42</f>
        <v>0.18976987080987442</v>
      </c>
      <c r="V10" s="93">
        <f>+TargetCo!$E$52</f>
        <v>3.111244967123679</v>
      </c>
      <c r="W10" s="48"/>
      <c r="X10" s="91">
        <f>+TargetCo!$C$41</f>
        <v>12.894047694133368</v>
      </c>
      <c r="Y10" s="48">
        <f>+TargetCo!$D$41</f>
        <v>10.549030438581802</v>
      </c>
      <c r="Z10" s="92">
        <f>+TargetCo!$E$41</f>
        <v>9.5054045280655632</v>
      </c>
      <c r="AA10" s="28"/>
      <c r="AB10" s="33">
        <f>+TargetCo!$E$66</f>
        <v>0.10979289807549381</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71" t="s">
        <v>53</v>
      </c>
      <c r="C12" s="269"/>
      <c r="D12" s="269"/>
      <c r="E12" s="269"/>
      <c r="F12" s="269"/>
      <c r="G12" s="269"/>
      <c r="H12" s="269"/>
      <c r="I12" s="269"/>
      <c r="J12" s="269"/>
      <c r="K12" s="269"/>
      <c r="L12" s="269"/>
      <c r="M12" s="269"/>
      <c r="N12" s="269"/>
      <c r="O12" s="269"/>
      <c r="P12" s="269"/>
      <c r="Q12" s="269"/>
      <c r="R12" s="269"/>
      <c r="S12" s="269"/>
      <c r="T12" s="269"/>
      <c r="U12" s="269"/>
      <c r="V12" s="269"/>
      <c r="W12" s="269"/>
      <c r="X12" s="269"/>
      <c r="Y12" s="269"/>
      <c r="Z12" s="269"/>
      <c r="AA12" s="269"/>
      <c r="AB12" s="269"/>
      <c r="AC12" s="2"/>
    </row>
    <row r="13" spans="1:29" ht="12.75" customHeight="1" x14ac:dyDescent="0.2">
      <c r="A13" s="2"/>
      <c r="B13" s="2" t="str">
        <f>'CompCo 1'!$E$7</f>
        <v>Công ty Cổ phần Tập đoàn Hoa Sen</v>
      </c>
      <c r="C13" s="2" t="str">
        <f>+'CompCo 1'!$E$8</f>
        <v>HSG</v>
      </c>
      <c r="D13" s="172">
        <f>+'CompCo 1'!$E$17</f>
        <v>11850</v>
      </c>
      <c r="E13" s="98">
        <f>+'CompCo 1'!$E$18</f>
        <v>0.72668179309498993</v>
      </c>
      <c r="F13" s="38">
        <f>+'CompCo 1'!$E$24</f>
        <v>9566063.0424000006</v>
      </c>
      <c r="G13" s="38">
        <f>+'CompCo 1'!$E$30</f>
        <v>13542091.097400002</v>
      </c>
      <c r="H13" s="2"/>
      <c r="I13" s="67">
        <f>+'CompCo 1'!$C$35</f>
        <v>0.3706322085349299</v>
      </c>
      <c r="J13" s="67">
        <f>+'CompCo 1'!$D$35</f>
        <v>0.37241799100826256</v>
      </c>
      <c r="K13" s="67">
        <f>+'CompCo 1'!$E$35</f>
        <v>0.37388811313325115</v>
      </c>
      <c r="L13" s="67"/>
      <c r="M13" s="99">
        <f>+'CompCo 1'!$C$37</f>
        <v>7.0773205148141454</v>
      </c>
      <c r="N13" s="67">
        <f>+'CompCo 1'!$D$37</f>
        <v>7.1114205019847203</v>
      </c>
      <c r="O13" s="100">
        <f>+'CompCo 1'!$E$37</f>
        <v>7.1394928746210713</v>
      </c>
      <c r="P13" s="67"/>
      <c r="Q13" s="67">
        <f>+'CompCo 1'!$C$39</f>
        <v>13.402858557130987</v>
      </c>
      <c r="R13" s="67">
        <f>+'CompCo 1'!$D$39</f>
        <v>13.46743628246778</v>
      </c>
      <c r="S13" s="67">
        <f>+'CompCo 1'!$E$39</f>
        <v>13.520599063331643</v>
      </c>
      <c r="T13" s="67"/>
      <c r="U13" s="39">
        <f>+'CompCo 1'!$N$42</f>
        <v>5.2369001482853277E-2</v>
      </c>
      <c r="V13" s="73">
        <f>+'CompCo 1'!$E$52</f>
        <v>2.3015329755669263</v>
      </c>
      <c r="W13" s="67"/>
      <c r="X13" s="99">
        <f>+'CompCo 1'!$C$41</f>
        <v>13.014719307544203</v>
      </c>
      <c r="Y13" s="67">
        <f>+'CompCo 1'!$D$41</f>
        <v>10.472379723528688</v>
      </c>
      <c r="Z13" s="100">
        <f>+'CompCo 1'!$E$41</f>
        <v>10.513719501693426</v>
      </c>
      <c r="AA13" s="2"/>
      <c r="AB13" s="39">
        <f>+'CompCo 1'!$E$66</f>
        <v>0.02</v>
      </c>
      <c r="AC13" s="39"/>
    </row>
    <row r="14" spans="1:29" ht="12.75" customHeight="1" x14ac:dyDescent="0.2">
      <c r="A14" s="2"/>
      <c r="B14" s="2" t="str">
        <f>'CompCo 2'!$E$7</f>
        <v>Công ty Cổ phần Thép Nam Kim</v>
      </c>
      <c r="C14" s="2" t="str">
        <f>+'CompCo 2'!$E$8</f>
        <v>NKG</v>
      </c>
      <c r="D14" s="173">
        <f>+'CompCo 2'!$E$17</f>
        <v>13350</v>
      </c>
      <c r="E14" s="98">
        <f>+'CompCo 2'!$E$18</f>
        <v>0.65441176470588236</v>
      </c>
      <c r="F14" s="41">
        <f>+'CompCo 2'!$E$24</f>
        <v>5975071.2613499993</v>
      </c>
      <c r="G14" s="41">
        <f>+'CompCo 2'!$E$30</f>
        <v>12003296.56435</v>
      </c>
      <c r="H14" s="2"/>
      <c r="I14" s="67">
        <f>+'CompCo 2'!$C$35</f>
        <v>0.81058745376750507</v>
      </c>
      <c r="J14" s="67">
        <f>+'CompCo 2'!$D$35</f>
        <v>0.83565716883247954</v>
      </c>
      <c r="K14" s="67">
        <f>+'CompCo 2'!$E$35</f>
        <v>0.85271139676783636</v>
      </c>
      <c r="L14" s="67"/>
      <c r="M14" s="99">
        <f>+'CompCo 2'!$C$37</f>
        <v>14.591258758968289</v>
      </c>
      <c r="N14" s="67">
        <f>+'CompCo 2'!$D$37</f>
        <v>15.042534784774347</v>
      </c>
      <c r="O14" s="100">
        <f>+'CompCo 2'!$E$37</f>
        <v>15.349525290586069</v>
      </c>
      <c r="P14" s="67"/>
      <c r="Q14" s="67">
        <f>+'CompCo 2'!$C$39</f>
        <v>26.066648774836143</v>
      </c>
      <c r="R14" s="67">
        <f>+'CompCo 2'!$D$39</f>
        <v>26.872833730133248</v>
      </c>
      <c r="S14" s="67">
        <f>+'CompCo 2'!$E$39</f>
        <v>27.421258908299237</v>
      </c>
      <c r="T14" s="67"/>
      <c r="U14" s="39">
        <f>+'CompCo 2'!$N$42</f>
        <v>5.5552949005807345E-2</v>
      </c>
      <c r="V14" s="73">
        <f>+'CompCo 2'!$E$52</f>
        <v>8.3476948511104947</v>
      </c>
      <c r="W14" s="67"/>
      <c r="X14" s="99">
        <f>+'CompCo 2'!$C$41</f>
        <v>30.31149614867719</v>
      </c>
      <c r="Y14" s="67">
        <f>+'CompCo 2'!$D$41</f>
        <v>30.448864154730408</v>
      </c>
      <c r="Z14" s="100">
        <f>+'CompCo 2'!$E$41</f>
        <v>31.070269545643274</v>
      </c>
      <c r="AA14" s="2"/>
      <c r="AB14" s="39">
        <f>+'CompCo 2'!$E$66</f>
        <v>0.02</v>
      </c>
      <c r="AC14" s="39"/>
    </row>
    <row r="15" spans="1:29" ht="12.75" customHeight="1" x14ac:dyDescent="0.2">
      <c r="A15" s="2"/>
      <c r="B15" s="2" t="str">
        <f>'CompCo 3'!$E$7</f>
        <v>Công ty Cổ phần Ống thép Việt - Đức VG PIPE</v>
      </c>
      <c r="C15" s="2" t="str">
        <f>+'CompCo 3'!$E$8</f>
        <v>VGS</v>
      </c>
      <c r="D15" s="173">
        <f>+'CompCo 3'!$E$17</f>
        <v>21200</v>
      </c>
      <c r="E15" s="98">
        <f>+'CompCo 3'!$E$18</f>
        <v>0.62362112075305187</v>
      </c>
      <c r="F15" s="41">
        <f>+'CompCo 3'!$E$24</f>
        <v>1304312.0859999999</v>
      </c>
      <c r="G15" s="41">
        <f>+'CompCo 3'!$E$30</f>
        <v>1815924.8230000001</v>
      </c>
      <c r="H15" s="2"/>
      <c r="I15" s="67">
        <f>+'CompCo 3'!$C$35</f>
        <v>0.24812493705174571</v>
      </c>
      <c r="J15" s="67">
        <f>+'CompCo 3'!$D$35</f>
        <v>0.24996542057081686</v>
      </c>
      <c r="K15" s="67">
        <f>+'CompCo 3'!$E$35</f>
        <v>0.25148378436164409</v>
      </c>
      <c r="L15" s="67"/>
      <c r="M15" s="99">
        <f>+'CompCo 3'!$C$37</f>
        <v>6.3930494726265668</v>
      </c>
      <c r="N15" s="67">
        <f>+'CompCo 3'!$D$37</f>
        <v>6.4404703499103499</v>
      </c>
      <c r="O15" s="100">
        <f>+'CompCo 3'!$E$37</f>
        <v>6.47959166898268</v>
      </c>
      <c r="P15" s="67"/>
      <c r="Q15" s="67">
        <f>+'CompCo 3'!$C$39</f>
        <v>6.675257481974886</v>
      </c>
      <c r="R15" s="67">
        <f>+'CompCo 3'!$D$39</f>
        <v>6.7247716562739841</v>
      </c>
      <c r="S15" s="67">
        <f>+'CompCo 3'!$E$39</f>
        <v>6.7656199054484123</v>
      </c>
      <c r="T15" s="67"/>
      <c r="U15" s="39">
        <f>+'CompCo 3'!$N$42</f>
        <v>3.8811671662194139E-2</v>
      </c>
      <c r="V15" s="73">
        <f>+'CompCo 3'!$E$52</f>
        <v>2.0135016197721871</v>
      </c>
      <c r="W15" s="67"/>
      <c r="X15" s="99">
        <f>+'CompCo 3'!$C$41</f>
        <v>6.0101552942830487</v>
      </c>
      <c r="Y15" s="67">
        <f>+'CompCo 3'!$D$41</f>
        <v>6.2229756513044503</v>
      </c>
      <c r="Z15" s="100">
        <f>+'CompCo 3'!$E$41</f>
        <v>6.2607758433412668</v>
      </c>
      <c r="AA15" s="2"/>
      <c r="AB15" s="39">
        <f>+'CompCo 3'!$E$66</f>
        <v>0.02</v>
      </c>
      <c r="AC15" s="39"/>
    </row>
    <row r="16" spans="1:29" ht="12.75" customHeight="1" x14ac:dyDescent="0.2">
      <c r="A16" s="2"/>
      <c r="B16" s="2" t="str">
        <f>'CompCo 4'!$E$7</f>
        <v>Công ty Cổ phần Đầu tư Thương mại SMC</v>
      </c>
      <c r="C16" s="2" t="str">
        <f>+'CompCo 4'!$E$8</f>
        <v>SMC</v>
      </c>
      <c r="D16" s="173">
        <f>+'CompCo 4'!$E$17</f>
        <v>10700</v>
      </c>
      <c r="E16" s="98">
        <f>+'CompCo 4'!$E$18</f>
        <v>0.63313609467455623</v>
      </c>
      <c r="F16" s="41">
        <f>+'CompCo 4'!$E$24</f>
        <v>787593.15590000001</v>
      </c>
      <c r="G16" s="41">
        <f>+'CompCo 4'!$E$30</f>
        <v>2718909.0658999998</v>
      </c>
      <c r="H16" s="2"/>
      <c r="I16" s="67">
        <f>+'CompCo 4'!$C$35</f>
        <v>0.38784492277784555</v>
      </c>
      <c r="J16" s="67">
        <f>+'CompCo 4'!$D$35</f>
        <v>0.39984012657509849</v>
      </c>
      <c r="K16" s="67">
        <f>+'CompCo 4'!$E$35</f>
        <v>0.40800012915826378</v>
      </c>
      <c r="L16" s="67"/>
      <c r="M16" s="99">
        <f>+'CompCo 4'!$C$37</f>
        <v>5.5838970899310034</v>
      </c>
      <c r="N16" s="67">
        <f>+'CompCo 4'!$D$37</f>
        <v>5.7565949380731976</v>
      </c>
      <c r="O16" s="100">
        <f>+'CompCo 4'!$E$37</f>
        <v>5.8740764674216299</v>
      </c>
      <c r="P16" s="67"/>
      <c r="Q16" s="67">
        <f>+'CompCo 4'!$C$39</f>
        <v>6.8489501855641448</v>
      </c>
      <c r="R16" s="67">
        <f>+'CompCo 4'!$D$39</f>
        <v>7.0607733871795268</v>
      </c>
      <c r="S16" s="67">
        <f>+'CompCo 4'!$E$39</f>
        <v>7.2048708032444146</v>
      </c>
      <c r="T16" s="67"/>
      <c r="U16" s="39">
        <f>+'CompCo 4'!$N$42</f>
        <v>6.9457749047204934E-2</v>
      </c>
      <c r="V16" s="73">
        <f>+'CompCo 4'!$E$52</f>
        <v>4.2084972759456871</v>
      </c>
      <c r="W16" s="67"/>
      <c r="X16" s="99">
        <f>+'CompCo 4'!$C$41</f>
        <v>4.3726717736948428</v>
      </c>
      <c r="Y16" s="67">
        <f>+'CompCo 4'!$D$41</f>
        <v>4.5079394503684291</v>
      </c>
      <c r="Z16" s="100">
        <f>+'CompCo 4'!$E$41</f>
        <v>4.5999382146616625</v>
      </c>
      <c r="AA16" s="2"/>
      <c r="AB16" s="39">
        <f>+'CompCo 4'!$E$66</f>
        <v>0.02</v>
      </c>
      <c r="AC16" s="39"/>
    </row>
    <row r="17" spans="1:29" ht="12.75" customHeight="1" x14ac:dyDescent="0.2">
      <c r="A17" s="2"/>
      <c r="B17" s="2" t="str">
        <f>'CompCo 5'!$E$7</f>
        <v>Công ty Cổ phần Tập đoàn Thép Tiến Lên</v>
      </c>
      <c r="C17" s="2" t="str">
        <f>+'CompCo 5'!$E$8</f>
        <v>TLH</v>
      </c>
      <c r="D17" s="173">
        <f>+'CompCo 5'!$E$17</f>
        <v>4380</v>
      </c>
      <c r="E17" s="98">
        <f>+'CompCo 5'!$E$18</f>
        <v>0.65373134328358207</v>
      </c>
      <c r="F17" s="41">
        <f>+'CompCo 5'!$E$24</f>
        <v>491961.67446000001</v>
      </c>
      <c r="G17" s="41">
        <f>+'CompCo 5'!$E$30</f>
        <v>1740638.5934599997</v>
      </c>
      <c r="H17" s="2"/>
      <c r="I17" s="67">
        <f>+'CompCo 5'!$C$35</f>
        <v>0.3271665024423473</v>
      </c>
      <c r="J17" s="67">
        <f>+'CompCo 5'!$D$35</f>
        <v>0.33728505406427556</v>
      </c>
      <c r="K17" s="67">
        <f>+'CompCo 5'!$E$35</f>
        <v>0.34416842251456692</v>
      </c>
      <c r="L17" s="67"/>
      <c r="M17" s="99">
        <f>+'CompCo 5'!$C$37</f>
        <v>14.015957154508769</v>
      </c>
      <c r="N17" s="67">
        <f>+'CompCo 5'!$D$37</f>
        <v>14.449440481822643</v>
      </c>
      <c r="O17" s="100">
        <f>+'CompCo 5'!$E$37</f>
        <v>14.744327022268005</v>
      </c>
      <c r="P17" s="67"/>
      <c r="Q17" s="67">
        <f>+'CompCo 5'!$C$39</f>
        <v>18.09718912323369</v>
      </c>
      <c r="R17" s="67">
        <f>+'CompCo 5'!$D$39</f>
        <v>18.656896197306999</v>
      </c>
      <c r="S17" s="67">
        <f>+'CompCo 5'!$E$39</f>
        <v>19.037649180925509</v>
      </c>
      <c r="T17" s="67"/>
      <c r="U17" s="39">
        <f>+'CompCo 5'!$N$42</f>
        <v>2.3342430262574085E-2</v>
      </c>
      <c r="V17" s="73">
        <f>+'CompCo 5'!$E$52</f>
        <v>10.217764864816523</v>
      </c>
      <c r="W17" s="67"/>
      <c r="X17" s="99">
        <f>+'CompCo 5'!$C$41</f>
        <v>96.359402043329666</v>
      </c>
      <c r="Y17" s="67">
        <f>+'CompCo 5'!$D$41</f>
        <v>100.34364261168385</v>
      </c>
      <c r="Z17" s="100">
        <f>+'CompCo 5'!$E$41</f>
        <v>102.39147205273862</v>
      </c>
      <c r="AA17" s="2"/>
      <c r="AB17" s="39">
        <f>+'CompCo 5'!$E$66</f>
        <v>0.02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54</v>
      </c>
      <c r="C19" s="43"/>
      <c r="D19" s="43"/>
      <c r="E19" s="43"/>
      <c r="F19" s="43"/>
      <c r="G19" s="43"/>
      <c r="H19" s="3"/>
      <c r="I19" s="44">
        <f>IF(ISERROR(AVERAGE(I13:I17)),"NA",AVERAGE(I13:I17))</f>
        <v>0.42887120491487468</v>
      </c>
      <c r="J19" s="44">
        <f>IF(ISERROR(AVERAGE(J13:J17)),"NA",AVERAGE(J13:J17))</f>
        <v>0.43903315221018657</v>
      </c>
      <c r="K19" s="44">
        <f>IF(ISERROR(AVERAGE(K13:K17)),"NA",AVERAGE(K13:K17))</f>
        <v>0.44605036918711249</v>
      </c>
      <c r="L19" s="44"/>
      <c r="M19" s="103">
        <f>IF(ISERROR(AVERAGE(M13:M17)),"NA",AVERAGE(M13:M17))</f>
        <v>9.5322965981697543</v>
      </c>
      <c r="N19" s="44">
        <f>IF(ISERROR(AVERAGE(N13:N17)),"NA",AVERAGE(N13:N17))</f>
        <v>9.7600922113130508</v>
      </c>
      <c r="O19" s="104">
        <f>IF(ISERROR(AVERAGE(O13:O17)),"NA",AVERAGE(O13:O17))</f>
        <v>9.9174026647758904</v>
      </c>
      <c r="P19" s="44"/>
      <c r="Q19" s="44">
        <f>IF(ISERROR(AVERAGE(Q13:Q17)),"NA",AVERAGE(Q13:Q17))</f>
        <v>14.218180824547971</v>
      </c>
      <c r="R19" s="44">
        <f>IF(ISERROR(AVERAGE(R13:R17)),"NA",AVERAGE(R13:R17))</f>
        <v>14.556542250672305</v>
      </c>
      <c r="S19" s="44">
        <f>IF(ISERROR(AVERAGE(S13:S17)),"NA",AVERAGE(S13:S17))</f>
        <v>14.789999572249844</v>
      </c>
      <c r="T19" s="44"/>
      <c r="U19" s="45">
        <f>IF(ISERROR(AVERAGE(U13:U17)),"NA",AVERAGE(U13:U17))</f>
        <v>4.790676029212676E-2</v>
      </c>
      <c r="V19" s="44">
        <f>+AVERAGE(V13:V17)</f>
        <v>5.4177983174423634</v>
      </c>
      <c r="W19" s="44"/>
      <c r="X19" s="103">
        <f>IF(ISERROR(AVERAGE(X13:X17)),"NA",AVERAGE(X13:X17))</f>
        <v>30.013688913505792</v>
      </c>
      <c r="Y19" s="44">
        <f>IF(ISERROR(AVERAGE(Y13:Y17)),"NA",AVERAGE(Y13:Y17))</f>
        <v>30.399160318323162</v>
      </c>
      <c r="Z19" s="104">
        <f>IF(ISERROR(AVERAGE(Z13:Z17)),"NA",AVERAGE(Z13:Z17))</f>
        <v>30.967235031615651</v>
      </c>
      <c r="AA19" s="4"/>
      <c r="AB19" s="45">
        <f>+AVERAGE(AB13:AB17)</f>
        <v>0.02</v>
      </c>
      <c r="AC19" s="39"/>
    </row>
    <row r="20" spans="1:29" ht="12.75" customHeight="1" x14ac:dyDescent="0.2">
      <c r="A20" s="2"/>
      <c r="B20" s="42" t="s">
        <v>55</v>
      </c>
      <c r="C20" s="43"/>
      <c r="D20" s="43"/>
      <c r="E20" s="43"/>
      <c r="F20" s="43"/>
      <c r="G20" s="43"/>
      <c r="H20" s="3"/>
      <c r="I20" s="44">
        <f>IF(ISERROR(MEDIAN(I13:I17)),"NA",MEDIAN(I13:I17))</f>
        <v>0.3706322085349299</v>
      </c>
      <c r="J20" s="44">
        <f>IF(ISERROR(MEDIAN(J13:J17)),"NA",MEDIAN(J13:J17))</f>
        <v>0.37241799100826256</v>
      </c>
      <c r="K20" s="44">
        <f>IF(ISERROR(MEDIAN(K13:K17)),"NA",MEDIAN(K13:K17))</f>
        <v>0.37388811313325115</v>
      </c>
      <c r="L20" s="44"/>
      <c r="M20" s="103">
        <f>IF(ISERROR(MEDIAN(M13:M17)),"NA",MEDIAN(M13:M17))</f>
        <v>7.0773205148141454</v>
      </c>
      <c r="N20" s="44">
        <f>IF(ISERROR(MEDIAN(N13:N17)),"NA",MEDIAN(N13:N17))</f>
        <v>7.1114205019847203</v>
      </c>
      <c r="O20" s="104">
        <f>IF(ISERROR(MEDIAN(O13:O17)),"NA",MEDIAN(O13:O17))</f>
        <v>7.1394928746210713</v>
      </c>
      <c r="P20" s="44"/>
      <c r="Q20" s="44">
        <f>IF(ISERROR(MEDIAN(Q13:Q17)),"NA",MEDIAN(Q13:Q17))</f>
        <v>13.402858557130987</v>
      </c>
      <c r="R20" s="44">
        <f>IF(ISERROR(MEDIAN(R13:R17)),"NA",MEDIAN(R13:R17))</f>
        <v>13.46743628246778</v>
      </c>
      <c r="S20" s="44">
        <f>IF(ISERROR(MEDIAN(S13:S17)),"NA",MEDIAN(S13:S17))</f>
        <v>13.520599063331643</v>
      </c>
      <c r="T20" s="44"/>
      <c r="U20" s="45">
        <f>IF(ISERROR(MEDIAN(U13:U17)),"NA",MEDIAN(U13:U17))</f>
        <v>5.2369001482853277E-2</v>
      </c>
      <c r="V20" s="44">
        <f>MEDIAN(V13:V17)</f>
        <v>4.2084972759456871</v>
      </c>
      <c r="W20" s="44"/>
      <c r="X20" s="103">
        <f>IF(ISERROR(MEDIAN(X13:X17)),"NA",MEDIAN(X13:X17))</f>
        <v>13.014719307544203</v>
      </c>
      <c r="Y20" s="44">
        <f>IF(ISERROR(MEDIAN(Y13:Y17)),"NA",MEDIAN(Y13:Y17))</f>
        <v>10.472379723528688</v>
      </c>
      <c r="Z20" s="104">
        <f>IF(ISERROR(MEDIAN(Z13:Z17)),"NA",MEDIAN(Z13:Z17))</f>
        <v>10.513719501693426</v>
      </c>
      <c r="AA20" s="4"/>
      <c r="AB20" s="45">
        <f>MEDIAN(AB13:AB17)</f>
        <v>0.02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71" t="s">
        <v>56</v>
      </c>
      <c r="C22" s="269"/>
      <c r="D22" s="269"/>
      <c r="E22" s="269"/>
      <c r="F22" s="269"/>
      <c r="G22" s="269"/>
      <c r="H22" s="269"/>
      <c r="I22" s="269"/>
      <c r="J22" s="269"/>
      <c r="K22" s="269"/>
      <c r="L22" s="269"/>
      <c r="M22" s="269"/>
      <c r="N22" s="269"/>
      <c r="O22" s="269"/>
      <c r="P22" s="269"/>
      <c r="Q22" s="269"/>
      <c r="R22" s="269"/>
      <c r="S22" s="269"/>
      <c r="T22" s="269"/>
      <c r="U22" s="269"/>
      <c r="V22" s="269"/>
      <c r="W22" s="269"/>
      <c r="X22" s="269"/>
      <c r="Y22" s="269"/>
      <c r="Z22" s="269"/>
      <c r="AA22" s="269"/>
      <c r="AB22" s="269"/>
      <c r="AC22" s="2"/>
    </row>
    <row r="23" spans="1:29" ht="12.75" customHeight="1" x14ac:dyDescent="0.2">
      <c r="A23" s="2"/>
      <c r="B23" s="2" t="str">
        <f>'CompCo 6'!$E$7</f>
        <v>Công ty Cổ phần Tập đoàn Hoa Sen</v>
      </c>
      <c r="C23" s="2" t="str">
        <f>+'CompCo 6'!$E$8</f>
        <v>HSG</v>
      </c>
      <c r="D23" s="172">
        <f>+'CompCo 6'!$E$17</f>
        <v>11850</v>
      </c>
      <c r="E23" s="98">
        <f>+'CompCo 6'!$E$18</f>
        <v>0.72668179309498993</v>
      </c>
      <c r="F23" s="38">
        <f>+'CompCo 6'!$E$24</f>
        <v>9566063.0424000006</v>
      </c>
      <c r="G23" s="38">
        <f>+'CompCo 6'!$E$30</f>
        <v>13542091.097400002</v>
      </c>
      <c r="H23" s="2"/>
      <c r="I23" s="67">
        <f>+'CompCo 6'!$C$35</f>
        <v>0.3706322085349299</v>
      </c>
      <c r="J23" s="67">
        <f>+'CompCo 6'!$D$35</f>
        <v>0.37241799100826256</v>
      </c>
      <c r="K23" s="67">
        <f>+'CompCo 6'!$E$35</f>
        <v>0.37388811313325115</v>
      </c>
      <c r="L23" s="67"/>
      <c r="M23" s="99">
        <f>+'CompCo 6'!$C$37</f>
        <v>7.0773205148141454</v>
      </c>
      <c r="N23" s="67">
        <f>+'CompCo 6'!$D$37</f>
        <v>7.1114205019847203</v>
      </c>
      <c r="O23" s="100">
        <f>+'CompCo 6'!$E$37</f>
        <v>7.1394928746210713</v>
      </c>
      <c r="P23" s="67"/>
      <c r="Q23" s="67">
        <f>+'CompCo 6'!$C$39</f>
        <v>13.402858557130987</v>
      </c>
      <c r="R23" s="67">
        <f>+'CompCo 6'!$D$39</f>
        <v>13.46743628246778</v>
      </c>
      <c r="S23" s="67">
        <f>+'CompCo 6'!$E$39</f>
        <v>13.520599063331643</v>
      </c>
      <c r="T23" s="67"/>
      <c r="U23" s="39">
        <f>+'CompCo 6'!$N$42</f>
        <v>5.2369001482853277E-2</v>
      </c>
      <c r="V23" s="73">
        <f>+'CompCo 6'!$E$52</f>
        <v>2.3015329755669263</v>
      </c>
      <c r="W23" s="67"/>
      <c r="X23" s="99">
        <f>+'CompCo 6'!$C$41</f>
        <v>13.014719307544203</v>
      </c>
      <c r="Y23" s="67">
        <f>+'CompCo 6'!$D$41</f>
        <v>10.472379723528688</v>
      </c>
      <c r="Z23" s="100">
        <f>+'CompCo 6'!$E$41</f>
        <v>10.513719501693426</v>
      </c>
      <c r="AA23" s="2"/>
      <c r="AB23" s="39">
        <f>+'CompCo 6'!$E$66</f>
        <v>0.02</v>
      </c>
      <c r="AC23" s="39"/>
    </row>
    <row r="24" spans="1:29" ht="12.75" customHeight="1" x14ac:dyDescent="0.2">
      <c r="A24" s="2"/>
      <c r="B24" s="2" t="str">
        <f>'CompCo 7'!$E$7</f>
        <v>Công ty Cổ phần Thép Nam Kim</v>
      </c>
      <c r="C24" s="2" t="str">
        <f>+'CompCo 7'!$E$8</f>
        <v>NKG</v>
      </c>
      <c r="D24" s="173">
        <f>+'CompCo 7'!$E$17</f>
        <v>13350</v>
      </c>
      <c r="E24" s="98">
        <f>+'CompCo 7'!$E$18</f>
        <v>0.65441176470588236</v>
      </c>
      <c r="F24" s="41">
        <f>+'CompCo 7'!$E$24</f>
        <v>5975071.2613499993</v>
      </c>
      <c r="G24" s="41">
        <f>+'CompCo 7'!$E$30</f>
        <v>12003296.56435</v>
      </c>
      <c r="H24" s="2"/>
      <c r="I24" s="67">
        <f>+'CompCo 7'!$C$35</f>
        <v>0.81058745376750507</v>
      </c>
      <c r="J24" s="67">
        <f>+'CompCo 7'!$D$35</f>
        <v>0.83565716883247954</v>
      </c>
      <c r="K24" s="67">
        <f>+'CompCo 7'!$E$35</f>
        <v>0.85271139676783636</v>
      </c>
      <c r="L24" s="67"/>
      <c r="M24" s="99">
        <f>+'CompCo 7'!$C$37</f>
        <v>14.591258758968289</v>
      </c>
      <c r="N24" s="67">
        <f>+'CompCo 7'!$D$37</f>
        <v>15.042534784774347</v>
      </c>
      <c r="O24" s="100">
        <f>+'CompCo 7'!$E$37</f>
        <v>15.349525290586069</v>
      </c>
      <c r="P24" s="67"/>
      <c r="Q24" s="67">
        <f>+'CompCo 7'!$C$39</f>
        <v>26.066648774836143</v>
      </c>
      <c r="R24" s="67">
        <f>+'CompCo 7'!$D$39</f>
        <v>26.872833730133248</v>
      </c>
      <c r="S24" s="67">
        <f>+'CompCo 7'!$E$39</f>
        <v>27.421258908299237</v>
      </c>
      <c r="T24" s="67"/>
      <c r="U24" s="39">
        <f>+'CompCo 7'!$N$42</f>
        <v>5.5552949005807345E-2</v>
      </c>
      <c r="V24" s="73">
        <f>+'CompCo 7'!$E$52</f>
        <v>8.3476948511104947</v>
      </c>
      <c r="W24" s="67"/>
      <c r="X24" s="99">
        <f>+'CompCo 7'!$C$41</f>
        <v>30.31149614867719</v>
      </c>
      <c r="Y24" s="67">
        <f>+'CompCo 7'!$D$41</f>
        <v>30.448864154730408</v>
      </c>
      <c r="Z24" s="100">
        <f>+'CompCo 7'!$E$41</f>
        <v>31.070269545643274</v>
      </c>
      <c r="AA24" s="2"/>
      <c r="AB24" s="39">
        <f>+'CompCo 7'!$E$66</f>
        <v>0.02</v>
      </c>
      <c r="AC24" s="39"/>
    </row>
    <row r="25" spans="1:29" ht="12.75" customHeight="1" x14ac:dyDescent="0.2">
      <c r="A25" s="2"/>
      <c r="B25" s="2" t="str">
        <f>'CompCo 8'!$E$7</f>
        <v>Công ty Cổ phần Ống thép Việt - Đức VG PIPE</v>
      </c>
      <c r="C25" s="2" t="str">
        <f>+'CompCo 8'!$E$8</f>
        <v>VGS</v>
      </c>
      <c r="D25" s="173">
        <f>+'CompCo 8'!$E$17</f>
        <v>21200</v>
      </c>
      <c r="E25" s="98">
        <f>+'CompCo 8'!$E$18</f>
        <v>0.62362112075305187</v>
      </c>
      <c r="F25" s="41">
        <f>+'CompCo 8'!$E$24</f>
        <v>1304312.0859999999</v>
      </c>
      <c r="G25" s="41">
        <f>+'CompCo 8'!$E$30</f>
        <v>1815924.8230000001</v>
      </c>
      <c r="H25" s="2"/>
      <c r="I25" s="67">
        <f>+'CompCo 8'!$C$35</f>
        <v>0.24812493705174571</v>
      </c>
      <c r="J25" s="67">
        <f>+'CompCo 8'!$D$35</f>
        <v>0.24996542057081686</v>
      </c>
      <c r="K25" s="67">
        <f>+'CompCo 8'!$E$35</f>
        <v>0.25148378436164409</v>
      </c>
      <c r="L25" s="67"/>
      <c r="M25" s="99">
        <f>+'CompCo 8'!$C$37</f>
        <v>6.3930494726265668</v>
      </c>
      <c r="N25" s="67">
        <f>+'CompCo 8'!$D$37</f>
        <v>6.4404703499103499</v>
      </c>
      <c r="O25" s="100">
        <f>+'CompCo 8'!$E$37</f>
        <v>6.47959166898268</v>
      </c>
      <c r="P25" s="67"/>
      <c r="Q25" s="67">
        <f>+'CompCo 8'!$C$39</f>
        <v>6.675257481974886</v>
      </c>
      <c r="R25" s="67">
        <f>+'CompCo 8'!$D$39</f>
        <v>6.7247716562739841</v>
      </c>
      <c r="S25" s="67">
        <f>+'CompCo 8'!$E$39</f>
        <v>6.7656199054484123</v>
      </c>
      <c r="T25" s="67"/>
      <c r="U25" s="39">
        <f>+'CompCo 8'!$N$42</f>
        <v>3.8811671662194139E-2</v>
      </c>
      <c r="V25" s="73">
        <f>+'CompCo 8'!$E$52</f>
        <v>2.0135016197721871</v>
      </c>
      <c r="W25" s="67"/>
      <c r="X25" s="99">
        <f>+'CompCo 8'!$C$41</f>
        <v>6.0101552942830487</v>
      </c>
      <c r="Y25" s="67">
        <f>+'CompCo 8'!$D$41</f>
        <v>6.2229756513044503</v>
      </c>
      <c r="Z25" s="100">
        <f>+'CompCo 8'!$E$41</f>
        <v>6.2607758433412668</v>
      </c>
      <c r="AA25" s="2"/>
      <c r="AB25" s="39">
        <f>+'CompCo 8'!$E$66</f>
        <v>0.02</v>
      </c>
      <c r="AC25" s="39"/>
    </row>
    <row r="26" spans="1:29" ht="12.75" customHeight="1" x14ac:dyDescent="0.2">
      <c r="A26" s="2"/>
      <c r="B26" s="2" t="str">
        <f>'CompCo 9'!$E$7</f>
        <v>Công ty Cổ phần Đầu tư Thương mại SMC</v>
      </c>
      <c r="C26" s="2" t="str">
        <f>+'CompCo 9'!$E$8</f>
        <v>SMC</v>
      </c>
      <c r="D26" s="173">
        <f>+'CompCo 9'!$E$17</f>
        <v>10700</v>
      </c>
      <c r="E26" s="98">
        <f>+'CompCo 9'!$E$18</f>
        <v>0.63313609467455623</v>
      </c>
      <c r="F26" s="41">
        <f>+'CompCo 9'!$E$24</f>
        <v>787593.15590000001</v>
      </c>
      <c r="G26" s="41">
        <f>+'CompCo 9'!$E$30</f>
        <v>2718909.0658999998</v>
      </c>
      <c r="H26" s="2"/>
      <c r="I26" s="67">
        <f>+'CompCo 9'!$C$35</f>
        <v>0.38784492277784555</v>
      </c>
      <c r="J26" s="67">
        <f>+'CompCo 9'!$D$35</f>
        <v>0.39984012657509849</v>
      </c>
      <c r="K26" s="67">
        <f>+'CompCo 9'!$E$35</f>
        <v>0.40800012915826378</v>
      </c>
      <c r="L26" s="67"/>
      <c r="M26" s="99">
        <f>+'CompCo 9'!$C$37</f>
        <v>5.5838970899310034</v>
      </c>
      <c r="N26" s="67">
        <f>+'CompCo 9'!$D$37</f>
        <v>5.7565949380731976</v>
      </c>
      <c r="O26" s="100">
        <f>+'CompCo 9'!$E$37</f>
        <v>5.8740764674216299</v>
      </c>
      <c r="P26" s="67"/>
      <c r="Q26" s="67">
        <f>+'CompCo 9'!$C$39</f>
        <v>6.8489501855641448</v>
      </c>
      <c r="R26" s="67">
        <f>+'CompCo 9'!$D$39</f>
        <v>7.0607733871795268</v>
      </c>
      <c r="S26" s="67">
        <f>+'CompCo 9'!$E$39</f>
        <v>7.2048708032444146</v>
      </c>
      <c r="T26" s="67"/>
      <c r="U26" s="39">
        <f>+'CompCo 9'!$N$42</f>
        <v>6.9457749047204934E-2</v>
      </c>
      <c r="V26" s="73">
        <f>+'CompCo 9'!$E$52</f>
        <v>4.2084972759456871</v>
      </c>
      <c r="W26" s="67"/>
      <c r="X26" s="99">
        <f>+'CompCo 9'!$C$41</f>
        <v>4.3726717736948428</v>
      </c>
      <c r="Y26" s="67">
        <f>+'CompCo 9'!$D$41</f>
        <v>4.5079394503684291</v>
      </c>
      <c r="Z26" s="100">
        <f>+'CompCo 9'!$E$41</f>
        <v>4.5999382146616625</v>
      </c>
      <c r="AA26" s="2"/>
      <c r="AB26" s="39">
        <f>+'CompCo 9'!$E$66</f>
        <v>0.02</v>
      </c>
      <c r="AC26" s="39"/>
    </row>
    <row r="27" spans="1:29" ht="12.75" customHeight="1" x14ac:dyDescent="0.2">
      <c r="A27" s="2"/>
      <c r="B27" s="2" t="str">
        <f>'CompCo 10'!$E$7</f>
        <v>Công ty Cổ phần Tập đoàn Thép Tiến Lên</v>
      </c>
      <c r="C27" s="2" t="str">
        <f>+'CompCo 10'!$E$8</f>
        <v>TLH</v>
      </c>
      <c r="D27" s="173">
        <f>+'CompCo 10'!$E$17</f>
        <v>4380</v>
      </c>
      <c r="E27" s="98">
        <f>+'CompCo 10'!$E$18</f>
        <v>0.65373134328358207</v>
      </c>
      <c r="F27" s="41">
        <f>+'CompCo 10'!$E$24</f>
        <v>491961.67446000001</v>
      </c>
      <c r="G27" s="41">
        <f>+'CompCo 10'!$E$30</f>
        <v>1740638.5934599997</v>
      </c>
      <c r="H27" s="2"/>
      <c r="I27" s="67">
        <f>+'CompCo 10'!$C$35</f>
        <v>0.3271665024423473</v>
      </c>
      <c r="J27" s="67">
        <f>+'CompCo 10'!$D$35</f>
        <v>0.33728505406427556</v>
      </c>
      <c r="K27" s="67">
        <f>+'CompCo 10'!$E$35</f>
        <v>0.34416842251456692</v>
      </c>
      <c r="L27" s="67"/>
      <c r="M27" s="99">
        <f>+'CompCo 10'!$C$37</f>
        <v>14.015957154508769</v>
      </c>
      <c r="N27" s="67">
        <f>+'CompCo 10'!$D$37</f>
        <v>14.449440481822643</v>
      </c>
      <c r="O27" s="100">
        <f>+'CompCo 10'!$E$37</f>
        <v>14.744327022268005</v>
      </c>
      <c r="P27" s="67"/>
      <c r="Q27" s="67">
        <f>+'CompCo 10'!$C$39</f>
        <v>18.09718912323369</v>
      </c>
      <c r="R27" s="67">
        <f>+'CompCo 10'!$D$39</f>
        <v>18.656896197306999</v>
      </c>
      <c r="S27" s="67">
        <f>+'CompCo 10'!$E$39</f>
        <v>19.037649180925509</v>
      </c>
      <c r="T27" s="67"/>
      <c r="U27" s="39">
        <f>+'CompCo 10'!$N$42</f>
        <v>2.3342430262574085E-2</v>
      </c>
      <c r="V27" s="73">
        <f>+'CompCo 10'!$E$52</f>
        <v>10.217764864816523</v>
      </c>
      <c r="W27" s="67"/>
      <c r="X27" s="99">
        <f>+'CompCo 10'!$C$41</f>
        <v>96.359402043329666</v>
      </c>
      <c r="Y27" s="67">
        <f>+'CompCo 10'!$D$41</f>
        <v>100.34364261168385</v>
      </c>
      <c r="Z27" s="100">
        <f>+'CompCo 10'!$E$41</f>
        <v>102.39147205273862</v>
      </c>
      <c r="AA27" s="2"/>
      <c r="AB27" s="39">
        <f>+'CompCo 10'!$E$66</f>
        <v>0.02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54</v>
      </c>
      <c r="C29" s="43"/>
      <c r="D29" s="43"/>
      <c r="E29" s="43"/>
      <c r="F29" s="43"/>
      <c r="G29" s="43"/>
      <c r="H29" s="3"/>
      <c r="I29" s="44">
        <f>IF(ISERROR(AVERAGE(I23:I27)),"NA",AVERAGE(I23:I27))</f>
        <v>0.42887120491487468</v>
      </c>
      <c r="J29" s="44">
        <f>IF(ISERROR(AVERAGE(J23:J27)),"NA",AVERAGE(J23:J27))</f>
        <v>0.43903315221018657</v>
      </c>
      <c r="K29" s="44">
        <f>IF(ISERROR(AVERAGE(K23:K27)),"NA",AVERAGE(K23:K27))</f>
        <v>0.44605036918711249</v>
      </c>
      <c r="L29" s="44"/>
      <c r="M29" s="103">
        <f>IF(ISERROR(AVERAGE(M23:M27)),"NA",AVERAGE(M23:M27))</f>
        <v>9.5322965981697543</v>
      </c>
      <c r="N29" s="44">
        <f>IF(ISERROR(AVERAGE(N23:N27)),"NA",AVERAGE(N23:N27))</f>
        <v>9.7600922113130508</v>
      </c>
      <c r="O29" s="104">
        <f>IF(ISERROR(AVERAGE(O23:O27)),"NA",AVERAGE(O23:O27))</f>
        <v>9.9174026647758904</v>
      </c>
      <c r="P29" s="44"/>
      <c r="Q29" s="44">
        <f>IF(ISERROR(AVERAGE(Q23:Q27)),"NA",AVERAGE(Q23:Q27))</f>
        <v>14.218180824547971</v>
      </c>
      <c r="R29" s="44">
        <f>IF(ISERROR(AVERAGE(R23:R27)),"NA",AVERAGE(R23:R27))</f>
        <v>14.556542250672305</v>
      </c>
      <c r="S29" s="44">
        <f>IF(ISERROR(AVERAGE(S23:S27)),"NA",AVERAGE(S23:S27))</f>
        <v>14.789999572249844</v>
      </c>
      <c r="T29" s="44"/>
      <c r="U29" s="45">
        <f>IF(ISERROR(AVERAGE(U23:U27)),"NA",AVERAGE(U23:U27))</f>
        <v>4.790676029212676E-2</v>
      </c>
      <c r="V29" s="44">
        <f>+AVERAGE(V23:V27)</f>
        <v>5.4177983174423634</v>
      </c>
      <c r="W29" s="44"/>
      <c r="X29" s="103">
        <f>IF(ISERROR(AVERAGE(X23:X27)),"NA",AVERAGE(X23:X27))</f>
        <v>30.013688913505792</v>
      </c>
      <c r="Y29" s="44">
        <f>IF(ISERROR(AVERAGE(Y23:Y27)),"NA",AVERAGE(Y23:Y27))</f>
        <v>30.399160318323162</v>
      </c>
      <c r="Z29" s="104">
        <f>IF(ISERROR(AVERAGE(Z23:Z27)),"NA",AVERAGE(Z23:Z27))</f>
        <v>30.967235031615651</v>
      </c>
      <c r="AA29" s="4"/>
      <c r="AB29" s="45">
        <f>+AVERAGE(AB23:AB27)</f>
        <v>0.02</v>
      </c>
      <c r="AC29" s="2"/>
    </row>
    <row r="30" spans="1:29" ht="12.75" customHeight="1" x14ac:dyDescent="0.2">
      <c r="A30" s="2"/>
      <c r="B30" s="42" t="s">
        <v>55</v>
      </c>
      <c r="C30" s="43"/>
      <c r="D30" s="43"/>
      <c r="E30" s="43"/>
      <c r="F30" s="43"/>
      <c r="G30" s="43"/>
      <c r="H30" s="3"/>
      <c r="I30" s="44">
        <f>IF(ISERROR(MEDIAN(I23:I27)),"NA",MEDIAN(I23:I27))</f>
        <v>0.3706322085349299</v>
      </c>
      <c r="J30" s="44">
        <f>IF(ISERROR(MEDIAN(J23:J27)),"NA",MEDIAN(J23:J27))</f>
        <v>0.37241799100826256</v>
      </c>
      <c r="K30" s="44">
        <f>IF(ISERROR(MEDIAN(K23:K27)),"NA",MEDIAN(K23:K27))</f>
        <v>0.37388811313325115</v>
      </c>
      <c r="L30" s="44"/>
      <c r="M30" s="103">
        <f>IF(ISERROR(MEDIAN(M23:M27)),"NA",MEDIAN(M23:M27))</f>
        <v>7.0773205148141454</v>
      </c>
      <c r="N30" s="44">
        <f>IF(ISERROR(MEDIAN(N23:N27)),"NA",MEDIAN(N23:N27))</f>
        <v>7.1114205019847203</v>
      </c>
      <c r="O30" s="104">
        <f>IF(ISERROR(MEDIAN(O23:O27)),"NA",MEDIAN(O23:O27))</f>
        <v>7.1394928746210713</v>
      </c>
      <c r="P30" s="44"/>
      <c r="Q30" s="44">
        <f>IF(ISERROR(MEDIAN(Q23:Q27)),"NA",MEDIAN(Q23:Q27))</f>
        <v>13.402858557130987</v>
      </c>
      <c r="R30" s="44">
        <f>IF(ISERROR(MEDIAN(R23:R27)),"NA",MEDIAN(R23:R27))</f>
        <v>13.46743628246778</v>
      </c>
      <c r="S30" s="44">
        <f>IF(ISERROR(MEDIAN(S23:S27)),"NA",MEDIAN(S23:S27))</f>
        <v>13.520599063331643</v>
      </c>
      <c r="T30" s="44"/>
      <c r="U30" s="45">
        <f>IF(ISERROR(MEDIAN(U23:U27)),"NA",MEDIAN(U23:U27))</f>
        <v>5.2369001482853277E-2</v>
      </c>
      <c r="V30" s="44">
        <f>MEDIAN(V23:V27)</f>
        <v>4.2084972759456871</v>
      </c>
      <c r="W30" s="44"/>
      <c r="X30" s="103">
        <f>IF(ISERROR(MEDIAN(X23:X27)),"NA",MEDIAN(X23:X27))</f>
        <v>13.014719307544203</v>
      </c>
      <c r="Y30" s="44">
        <f>IF(ISERROR(MEDIAN(Y23:Y27)),"NA",MEDIAN(Y23:Y27))</f>
        <v>10.472379723528688</v>
      </c>
      <c r="Z30" s="104">
        <f>IF(ISERROR(MEDIAN(Z23:Z27)),"NA",MEDIAN(Z23:Z27))</f>
        <v>10.513719501693426</v>
      </c>
      <c r="AA30" s="4"/>
      <c r="AB30" s="45">
        <f>MEDIAN(AB23:AB27)</f>
        <v>0.02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71" t="s">
        <v>57</v>
      </c>
      <c r="C32" s="269"/>
      <c r="D32" s="269"/>
      <c r="E32" s="269"/>
      <c r="F32" s="269"/>
      <c r="G32" s="269"/>
      <c r="H32" s="269"/>
      <c r="I32" s="269"/>
      <c r="J32" s="269"/>
      <c r="K32" s="269"/>
      <c r="L32" s="269"/>
      <c r="M32" s="269"/>
      <c r="N32" s="269"/>
      <c r="O32" s="269"/>
      <c r="P32" s="269"/>
      <c r="Q32" s="269"/>
      <c r="R32" s="269"/>
      <c r="S32" s="269"/>
      <c r="T32" s="269"/>
      <c r="U32" s="269"/>
      <c r="V32" s="269"/>
      <c r="W32" s="269"/>
      <c r="X32" s="269"/>
      <c r="Y32" s="269"/>
      <c r="Z32" s="269"/>
      <c r="AA32" s="269"/>
      <c r="AB32" s="269"/>
      <c r="AC32" s="2"/>
    </row>
    <row r="33" spans="1:29" ht="12.75" customHeight="1" x14ac:dyDescent="0.2">
      <c r="A33" s="2"/>
      <c r="B33" s="2" t="str">
        <f>'CompCo 11'!$E$7</f>
        <v>Công ty Cổ phần Tập đoàn Hoa Sen</v>
      </c>
      <c r="C33" s="2" t="str">
        <f>+'CompCo 11'!$E$8</f>
        <v>HSG</v>
      </c>
      <c r="D33" s="172">
        <f>+'CompCo 11'!$E$17</f>
        <v>11850</v>
      </c>
      <c r="E33" s="98">
        <f>+'CompCo 11'!$E$18</f>
        <v>0.72668179309498993</v>
      </c>
      <c r="F33" s="38">
        <f>+'CompCo 11'!$E$24</f>
        <v>9566063.0424000006</v>
      </c>
      <c r="G33" s="38">
        <f>+'CompCo 11'!$E$30</f>
        <v>13542091.097400002</v>
      </c>
      <c r="H33" s="2"/>
      <c r="I33" s="67">
        <f>+'CompCo 11'!$C$35</f>
        <v>0.3706322085349299</v>
      </c>
      <c r="J33" s="67">
        <f>+'CompCo 11'!$D$35</f>
        <v>0.37241799100826256</v>
      </c>
      <c r="K33" s="67">
        <f>+'CompCo 11'!$E$35</f>
        <v>0.37388811313325115</v>
      </c>
      <c r="L33" s="67"/>
      <c r="M33" s="99">
        <f>+'CompCo 11'!$C$37</f>
        <v>7.0773205148141454</v>
      </c>
      <c r="N33" s="67">
        <f>+'CompCo 11'!$D$37</f>
        <v>7.1114205019847203</v>
      </c>
      <c r="O33" s="100">
        <f>+'CompCo 11'!$E$37</f>
        <v>7.1394928746210713</v>
      </c>
      <c r="P33" s="67"/>
      <c r="Q33" s="67">
        <f>+'CompCo 11'!$C$39</f>
        <v>13.402858557130987</v>
      </c>
      <c r="R33" s="67">
        <f>+'CompCo 11'!$D$39</f>
        <v>13.46743628246778</v>
      </c>
      <c r="S33" s="67">
        <f>+'CompCo 11'!$E$39</f>
        <v>13.520599063331643</v>
      </c>
      <c r="T33" s="67"/>
      <c r="U33" s="39">
        <f>+'CompCo 11'!$N$42</f>
        <v>5.2369001482853277E-2</v>
      </c>
      <c r="V33" s="73">
        <f>+'CompCo 11'!$E$52</f>
        <v>2.3015329755669263</v>
      </c>
      <c r="W33" s="67"/>
      <c r="X33" s="99">
        <f>+'CompCo 11'!$C$41</f>
        <v>13.014719307544203</v>
      </c>
      <c r="Y33" s="67">
        <f>+'CompCo 11'!$D$41</f>
        <v>10.472379723528688</v>
      </c>
      <c r="Z33" s="100">
        <f>+'CompCo 11'!$E$41</f>
        <v>10.513719501693426</v>
      </c>
      <c r="AA33" s="2"/>
      <c r="AB33" s="39">
        <f>+'CompCo 11'!$E$66</f>
        <v>0.02</v>
      </c>
      <c r="AC33" s="2"/>
    </row>
    <row r="34" spans="1:29" ht="12.75" customHeight="1" x14ac:dyDescent="0.2">
      <c r="A34" s="2"/>
      <c r="B34" s="2" t="str">
        <f>'CompCo 12'!$E$7</f>
        <v>Công ty Cổ phần Thép Nam Kim</v>
      </c>
      <c r="C34" s="2" t="str">
        <f>+'CompCo 12'!$E$8</f>
        <v>NKG</v>
      </c>
      <c r="D34" s="173">
        <f>+'CompCo 12'!$E$17</f>
        <v>13350</v>
      </c>
      <c r="E34" s="98">
        <f>+'CompCo 12'!$E$18</f>
        <v>0.65441176470588236</v>
      </c>
      <c r="F34" s="41">
        <f>+'CompCo 12'!$E$24</f>
        <v>5975071.2613499993</v>
      </c>
      <c r="G34" s="41">
        <f>+'CompCo 12'!$E$30</f>
        <v>12003296.56435</v>
      </c>
      <c r="H34" s="2"/>
      <c r="I34" s="67">
        <f>+'CompCo 12'!$C$35</f>
        <v>0.81058745376750507</v>
      </c>
      <c r="J34" s="67">
        <f>+'CompCo 12'!$D$35</f>
        <v>0.83565716883247954</v>
      </c>
      <c r="K34" s="67">
        <f>+'CompCo 12'!$E$35</f>
        <v>0.85271139676783636</v>
      </c>
      <c r="L34" s="67"/>
      <c r="M34" s="99">
        <f>+'CompCo 12'!$C$37</f>
        <v>14.591258758968289</v>
      </c>
      <c r="N34" s="67">
        <f>+'CompCo 12'!$D$37</f>
        <v>15.042534784774347</v>
      </c>
      <c r="O34" s="100">
        <f>+'CompCo 12'!$E$37</f>
        <v>15.349525290586069</v>
      </c>
      <c r="P34" s="67"/>
      <c r="Q34" s="67">
        <f>+'CompCo 12'!$C$39</f>
        <v>26.066648774836143</v>
      </c>
      <c r="R34" s="67">
        <f>+'CompCo 12'!$D$39</f>
        <v>26.872833730133248</v>
      </c>
      <c r="S34" s="67">
        <f>+'CompCo 12'!$E$39</f>
        <v>27.421258908299237</v>
      </c>
      <c r="T34" s="67"/>
      <c r="U34" s="39">
        <f>+'CompCo 12'!$N$42</f>
        <v>5.5552949005807345E-2</v>
      </c>
      <c r="V34" s="73">
        <f>+'CompCo 12'!$E$52</f>
        <v>8.3476948511104947</v>
      </c>
      <c r="W34" s="67"/>
      <c r="X34" s="99">
        <f>+'CompCo 12'!$C$41</f>
        <v>30.31149614867719</v>
      </c>
      <c r="Y34" s="67">
        <f>+'CompCo 12'!$D$41</f>
        <v>30.448864154730408</v>
      </c>
      <c r="Z34" s="100">
        <f>+'CompCo 12'!$E$41</f>
        <v>31.070269545643274</v>
      </c>
      <c r="AA34" s="2"/>
      <c r="AB34" s="39">
        <f>+'CompCo 12'!$E$66</f>
        <v>0.02</v>
      </c>
      <c r="AC34" s="2"/>
    </row>
    <row r="35" spans="1:29" ht="12.75" customHeight="1" x14ac:dyDescent="0.2">
      <c r="A35" s="2"/>
      <c r="B35" s="2" t="str">
        <f>'CompCo 13'!$E$7</f>
        <v>Công ty Cổ phần Ống thép Việt - Đức VG PIPE</v>
      </c>
      <c r="C35" s="2" t="str">
        <f>+'CompCo 13'!$E$8</f>
        <v>VGS</v>
      </c>
      <c r="D35" s="173">
        <f>+'CompCo 13'!$E$17</f>
        <v>21200</v>
      </c>
      <c r="E35" s="98">
        <f>+'CompCo 13'!$E$18</f>
        <v>0.62362112075305187</v>
      </c>
      <c r="F35" s="41">
        <f>+'CompCo 13'!$E$24</f>
        <v>1304312.0859999999</v>
      </c>
      <c r="G35" s="41">
        <f>+'CompCo 13'!$E$30</f>
        <v>1815924.8230000001</v>
      </c>
      <c r="H35" s="2"/>
      <c r="I35" s="67">
        <f>+'CompCo 13'!$C$35</f>
        <v>0.24812493705174571</v>
      </c>
      <c r="J35" s="67">
        <f>+'CompCo 13'!$D$35</f>
        <v>0.24996542057081686</v>
      </c>
      <c r="K35" s="67">
        <f>+'CompCo 13'!$E$35</f>
        <v>0.25148378436164409</v>
      </c>
      <c r="L35" s="67"/>
      <c r="M35" s="99">
        <f>+'CompCo 13'!$C$37</f>
        <v>6.3930494726265668</v>
      </c>
      <c r="N35" s="67">
        <f>+'CompCo 13'!$D$37</f>
        <v>6.4404703499103499</v>
      </c>
      <c r="O35" s="100">
        <f>+'CompCo 13'!$E$37</f>
        <v>6.47959166898268</v>
      </c>
      <c r="P35" s="67"/>
      <c r="Q35" s="67">
        <f>+'CompCo 13'!$C$39</f>
        <v>6.675257481974886</v>
      </c>
      <c r="R35" s="67">
        <f>+'CompCo 13'!$D$39</f>
        <v>6.7247716562739841</v>
      </c>
      <c r="S35" s="67">
        <f>+'CompCo 13'!$E$39</f>
        <v>6.7656199054484123</v>
      </c>
      <c r="T35" s="67"/>
      <c r="U35" s="39">
        <f>+'CompCo 13'!$N$42</f>
        <v>3.8811671662194139E-2</v>
      </c>
      <c r="V35" s="73">
        <f>+'CompCo 13'!$E$52</f>
        <v>2.0135016197721871</v>
      </c>
      <c r="W35" s="67"/>
      <c r="X35" s="99">
        <f>+'CompCo 13'!$C$41</f>
        <v>6.0101552942830487</v>
      </c>
      <c r="Y35" s="67">
        <f>+'CompCo 13'!$D$41</f>
        <v>6.2229756513044503</v>
      </c>
      <c r="Z35" s="100">
        <f>+'CompCo 13'!$E$41</f>
        <v>6.2607758433412668</v>
      </c>
      <c r="AA35" s="2"/>
      <c r="AB35" s="39">
        <f>+'CompCo 13'!$E$66</f>
        <v>0.02</v>
      </c>
      <c r="AC35" s="2"/>
    </row>
    <row r="36" spans="1:29" ht="12.75" customHeight="1" x14ac:dyDescent="0.2">
      <c r="A36" s="2"/>
      <c r="B36" s="2" t="str">
        <f>'CompCo 14'!$E$7</f>
        <v>Công ty Cổ phần Đầu tư Thương mại SMC</v>
      </c>
      <c r="C36" s="2" t="str">
        <f>+'CompCo 14'!$E$8</f>
        <v>SMC</v>
      </c>
      <c r="D36" s="173">
        <f>+'CompCo 14'!$E$17</f>
        <v>10700</v>
      </c>
      <c r="E36" s="98">
        <f>+'CompCo 14'!$E$18</f>
        <v>0.63313609467455623</v>
      </c>
      <c r="F36" s="41">
        <f>+'CompCo 14'!$E$24</f>
        <v>787593.15590000001</v>
      </c>
      <c r="G36" s="41">
        <f>+'CompCo 14'!$E$30</f>
        <v>2718909.0658999998</v>
      </c>
      <c r="H36" s="2"/>
      <c r="I36" s="67">
        <f>+'CompCo 14'!$C$35</f>
        <v>0.38784492277784555</v>
      </c>
      <c r="J36" s="67">
        <f>+'CompCo 14'!$D$35</f>
        <v>0.39984012657509849</v>
      </c>
      <c r="K36" s="67">
        <f>+'CompCo 14'!$E$35</f>
        <v>0.40800012915826378</v>
      </c>
      <c r="L36" s="67"/>
      <c r="M36" s="99">
        <f>+'CompCo 14'!$C$37</f>
        <v>5.5838970899310034</v>
      </c>
      <c r="N36" s="67">
        <f>+'CompCo 14'!$D$37</f>
        <v>5.7565949380731976</v>
      </c>
      <c r="O36" s="100">
        <f>+'CompCo 14'!$E$37</f>
        <v>5.8740764674216299</v>
      </c>
      <c r="P36" s="67"/>
      <c r="Q36" s="67">
        <f>+'CompCo 14'!$C$39</f>
        <v>6.8489501855641448</v>
      </c>
      <c r="R36" s="67">
        <f>+'CompCo 14'!$D$39</f>
        <v>7.0607733871795268</v>
      </c>
      <c r="S36" s="67">
        <f>+'CompCo 14'!$E$39</f>
        <v>7.2048708032444146</v>
      </c>
      <c r="T36" s="67"/>
      <c r="U36" s="39">
        <f>+'CompCo 14'!$N$42</f>
        <v>6.9457749047204934E-2</v>
      </c>
      <c r="V36" s="73">
        <f>+'CompCo 14'!$E$52</f>
        <v>4.2084972759456871</v>
      </c>
      <c r="W36" s="67"/>
      <c r="X36" s="99">
        <f>+'CompCo 14'!$C$41</f>
        <v>4.3726717736948428</v>
      </c>
      <c r="Y36" s="67">
        <f>+'CompCo 14'!$D$41</f>
        <v>4.5079394503684291</v>
      </c>
      <c r="Z36" s="100">
        <f>+'CompCo 14'!$E$41</f>
        <v>4.5999382146616625</v>
      </c>
      <c r="AA36" s="2"/>
      <c r="AB36" s="39">
        <f>+'CompCo 14'!$E$66</f>
        <v>0.02</v>
      </c>
      <c r="AC36" s="2"/>
    </row>
    <row r="37" spans="1:29" ht="12.75" customHeight="1" x14ac:dyDescent="0.2">
      <c r="A37" s="2" t="s">
        <v>58</v>
      </c>
      <c r="B37" s="2" t="str">
        <f>'CompCo 15'!$E$7</f>
        <v>Công ty Cổ phần Tập đoàn Thép Tiến Lên</v>
      </c>
      <c r="C37" s="2" t="str">
        <f>+'CompCo 15'!$E$8</f>
        <v>TLH</v>
      </c>
      <c r="D37" s="173">
        <f>+'CompCo 15'!$E$17</f>
        <v>4380</v>
      </c>
      <c r="E37" s="98">
        <f>+'CompCo 15'!$E$18</f>
        <v>0.65373134328358207</v>
      </c>
      <c r="F37" s="41">
        <f>+'CompCo 15'!$E$24</f>
        <v>491961.67446000001</v>
      </c>
      <c r="G37" s="41">
        <f>+'CompCo 15'!$E$30</f>
        <v>1740638.5934599997</v>
      </c>
      <c r="H37" s="2"/>
      <c r="I37" s="67">
        <f>+'CompCo 15'!$C$35</f>
        <v>0.3271665024423473</v>
      </c>
      <c r="J37" s="67">
        <f>+'CompCo 15'!$D$35</f>
        <v>0.33728505406427556</v>
      </c>
      <c r="K37" s="67">
        <f>+'CompCo 15'!$E$35</f>
        <v>0.34416842251456692</v>
      </c>
      <c r="L37" s="67"/>
      <c r="M37" s="99">
        <f>+'CompCo 15'!$C$37</f>
        <v>14.015957154508769</v>
      </c>
      <c r="N37" s="67">
        <f>+'CompCo 15'!$D$37</f>
        <v>14.449440481822643</v>
      </c>
      <c r="O37" s="100">
        <f>+'CompCo 15'!$E$37</f>
        <v>14.744327022268005</v>
      </c>
      <c r="P37" s="67"/>
      <c r="Q37" s="67">
        <f>+'CompCo 15'!$C$39</f>
        <v>18.09718912323369</v>
      </c>
      <c r="R37" s="67">
        <f>+'CompCo 15'!$D$39</f>
        <v>18.656896197306999</v>
      </c>
      <c r="S37" s="67">
        <f>+'CompCo 15'!$E$39</f>
        <v>19.037649180925509</v>
      </c>
      <c r="T37" s="67"/>
      <c r="U37" s="39">
        <f>+'CompCo 15'!$N$42</f>
        <v>2.3342430262574085E-2</v>
      </c>
      <c r="V37" s="73">
        <f>+'CompCo 15'!$E$52</f>
        <v>10.217764864816523</v>
      </c>
      <c r="W37" s="67"/>
      <c r="X37" s="99">
        <f>+'CompCo 15'!$C$41</f>
        <v>96.359402043329666</v>
      </c>
      <c r="Y37" s="67">
        <f>+'CompCo 15'!$D$41</f>
        <v>100.34364261168385</v>
      </c>
      <c r="Z37" s="100">
        <f>+'CompCo 15'!$E$41</f>
        <v>102.39147205273862</v>
      </c>
      <c r="AA37" s="2"/>
      <c r="AB37" s="39">
        <f>+'CompCo 15'!$E$66</f>
        <v>0.02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54</v>
      </c>
      <c r="C39" s="43"/>
      <c r="D39" s="43"/>
      <c r="E39" s="43"/>
      <c r="F39" s="43"/>
      <c r="G39" s="43"/>
      <c r="H39" s="3"/>
      <c r="I39" s="44">
        <f>IF(ISERROR(AVERAGE(I33:I37)),"NA",AVERAGE(I33:I37))</f>
        <v>0.42887120491487468</v>
      </c>
      <c r="J39" s="44">
        <f>IF(ISERROR(AVERAGE(J33:J37)),"NA",AVERAGE(J33:J37))</f>
        <v>0.43903315221018657</v>
      </c>
      <c r="K39" s="44">
        <f>IF(ISERROR(AVERAGE(K33:K37)),"NA",AVERAGE(K33:K37))</f>
        <v>0.44605036918711249</v>
      </c>
      <c r="L39" s="44"/>
      <c r="M39" s="103">
        <f>IF(ISERROR(AVERAGE(M33:M37)),"NA",AVERAGE(M33:M37))</f>
        <v>9.5322965981697543</v>
      </c>
      <c r="N39" s="44">
        <f>IF(ISERROR(AVERAGE(N33:N37)),"NA",AVERAGE(N33:N37))</f>
        <v>9.7600922113130508</v>
      </c>
      <c r="O39" s="104">
        <f>IF(ISERROR(AVERAGE(O33:O37)),"NA",AVERAGE(O33:O37))</f>
        <v>9.9174026647758904</v>
      </c>
      <c r="P39" s="44"/>
      <c r="Q39" s="44">
        <f>IF(ISERROR(AVERAGE(Q33:Q37)),"NA",AVERAGE(Q33:Q37))</f>
        <v>14.218180824547971</v>
      </c>
      <c r="R39" s="44">
        <f>IF(ISERROR(AVERAGE(R33:R37)),"NA",AVERAGE(R33:R37))</f>
        <v>14.556542250672305</v>
      </c>
      <c r="S39" s="44">
        <f>IF(ISERROR(AVERAGE(S33:S37)),"NA",AVERAGE(S33:S37))</f>
        <v>14.789999572249844</v>
      </c>
      <c r="T39" s="44"/>
      <c r="U39" s="45">
        <f>IF(ISERROR(AVERAGE(U33:U37)),"NA",AVERAGE(U33:U37))</f>
        <v>4.790676029212676E-2</v>
      </c>
      <c r="V39" s="44">
        <f>+AVERAGE(V33:V37)</f>
        <v>5.4177983174423634</v>
      </c>
      <c r="W39" s="44"/>
      <c r="X39" s="103">
        <f>IF(ISERROR(AVERAGE(X33:X37)),"NA",AVERAGE(X33:X37))</f>
        <v>30.013688913505792</v>
      </c>
      <c r="Y39" s="44">
        <f>IF(ISERROR(AVERAGE(Y33:Y37)),"NA",AVERAGE(Y33:Y37))</f>
        <v>30.399160318323162</v>
      </c>
      <c r="Z39" s="104">
        <f>IF(ISERROR(AVERAGE(Z33:Z37)),"NA",AVERAGE(Z33:Z37))</f>
        <v>30.967235031615651</v>
      </c>
      <c r="AA39" s="4"/>
      <c r="AB39" s="45">
        <f>+AVERAGE(AB33:AB37)</f>
        <v>0.02</v>
      </c>
      <c r="AC39" s="2"/>
    </row>
    <row r="40" spans="1:29" ht="12.75" customHeight="1" x14ac:dyDescent="0.2">
      <c r="A40" s="2"/>
      <c r="B40" s="42" t="s">
        <v>55</v>
      </c>
      <c r="C40" s="43"/>
      <c r="D40" s="43"/>
      <c r="E40" s="43"/>
      <c r="F40" s="43"/>
      <c r="G40" s="43"/>
      <c r="H40" s="3"/>
      <c r="I40" s="44">
        <f>IF(ISERROR(MEDIAN(I33:I37)),"NA",MEDIAN(I33:I37))</f>
        <v>0.3706322085349299</v>
      </c>
      <c r="J40" s="44">
        <f>IF(ISERROR(MEDIAN(J33:J37)),"NA",MEDIAN(J33:J37))</f>
        <v>0.37241799100826256</v>
      </c>
      <c r="K40" s="44">
        <f>IF(ISERROR(MEDIAN(K33:K37)),"NA",MEDIAN(K33:K37))</f>
        <v>0.37388811313325115</v>
      </c>
      <c r="L40" s="44"/>
      <c r="M40" s="103">
        <f>IF(ISERROR(MEDIAN(M33:M37)),"NA",MEDIAN(M33:M37))</f>
        <v>7.0773205148141454</v>
      </c>
      <c r="N40" s="44">
        <f>IF(ISERROR(MEDIAN(N33:N37)),"NA",MEDIAN(N33:N37))</f>
        <v>7.1114205019847203</v>
      </c>
      <c r="O40" s="104">
        <f>IF(ISERROR(MEDIAN(O33:O37)),"NA",MEDIAN(O33:O37))</f>
        <v>7.1394928746210713</v>
      </c>
      <c r="P40" s="44"/>
      <c r="Q40" s="44">
        <f>IF(ISERROR(MEDIAN(Q33:Q37)),"NA",MEDIAN(Q33:Q37))</f>
        <v>13.402858557130987</v>
      </c>
      <c r="R40" s="44">
        <f>IF(ISERROR(MEDIAN(R33:R37)),"NA",MEDIAN(R33:R37))</f>
        <v>13.46743628246778</v>
      </c>
      <c r="S40" s="44">
        <f>IF(ISERROR(MEDIAN(S33:S37)),"NA",MEDIAN(S33:S37))</f>
        <v>13.520599063331643</v>
      </c>
      <c r="T40" s="44"/>
      <c r="U40" s="45">
        <f>IF(ISERROR(MEDIAN(U33:U37)),"NA",MEDIAN(U33:U37))</f>
        <v>5.2369001482853277E-2</v>
      </c>
      <c r="V40" s="44">
        <f>MEDIAN(V33:V37)</f>
        <v>4.2084972759456871</v>
      </c>
      <c r="W40" s="44"/>
      <c r="X40" s="103">
        <f>IF(ISERROR(MEDIAN(X33:X37)),"NA",MEDIAN(X33:X37))</f>
        <v>13.014719307544203</v>
      </c>
      <c r="Y40" s="44">
        <f>IF(ISERROR(MEDIAN(Y33:Y37)),"NA",MEDIAN(Y33:Y37))</f>
        <v>10.472379723528688</v>
      </c>
      <c r="Z40" s="104">
        <f>IF(ISERROR(MEDIAN(Z33:Z37)),"NA",MEDIAN(Z33:Z37))</f>
        <v>10.513719501693426</v>
      </c>
      <c r="AA40" s="4"/>
      <c r="AB40" s="45">
        <f>MEDIAN(AB33:AB37)</f>
        <v>0.02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71" t="s">
        <v>59</v>
      </c>
      <c r="C42" s="269"/>
      <c r="D42" s="269"/>
      <c r="E42" s="269"/>
      <c r="F42" s="269"/>
      <c r="G42" s="269"/>
      <c r="H42" s="269"/>
      <c r="I42" s="269"/>
      <c r="J42" s="269"/>
      <c r="K42" s="269"/>
      <c r="L42" s="269"/>
      <c r="M42" s="269"/>
      <c r="N42" s="269"/>
      <c r="O42" s="269"/>
      <c r="P42" s="269"/>
      <c r="Q42" s="269"/>
      <c r="R42" s="269"/>
      <c r="S42" s="269"/>
      <c r="T42" s="269"/>
      <c r="U42" s="269"/>
      <c r="V42" s="269"/>
      <c r="W42" s="269"/>
      <c r="X42" s="269"/>
      <c r="Y42" s="269"/>
      <c r="Z42" s="269"/>
      <c r="AA42" s="269"/>
      <c r="AB42" s="269"/>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54</v>
      </c>
      <c r="C44" s="43"/>
      <c r="D44" s="43"/>
      <c r="E44" s="43"/>
      <c r="F44" s="43"/>
      <c r="G44" s="43"/>
      <c r="H44" s="3"/>
      <c r="I44" s="44">
        <f>IF(ISERROR(AVERAGE(I23:I27,I13:I17,I33:I37)),"NA",AVERAGE(I23:I27,I13:I17,I33:I37))</f>
        <v>0.42887120491487468</v>
      </c>
      <c r="J44" s="44">
        <f>IF(ISERROR(AVERAGE(J23:J27,J13:J17,J33:J37)),"NA",AVERAGE(J23:J27,J13:J17,J33:J37))</f>
        <v>0.43903315221018657</v>
      </c>
      <c r="K44" s="44">
        <f>IF(ISERROR(AVERAGE(K23:K27,K13:K17,K33:K37)),"NA",AVERAGE(K23:K27,K13:K17,K33:K37))</f>
        <v>0.44605036918711255</v>
      </c>
      <c r="L44" s="44"/>
      <c r="M44" s="103">
        <f>IF(ISERROR(AVERAGE(M23:M27,M13:M17,M33:M37)),"NA",AVERAGE(M23:M27,M13:M17,M33:M37))</f>
        <v>9.5322965981697543</v>
      </c>
      <c r="N44" s="44">
        <f>IF(ISERROR(AVERAGE(N23:N27,N13:N17,N33:N37)),"NA",AVERAGE(N23:N27,N13:N17,N33:N37))</f>
        <v>9.7600922113130526</v>
      </c>
      <c r="O44" s="104">
        <f>IF(ISERROR(AVERAGE(O23:O27,O13:O17,O33:O37)),"NA",AVERAGE(O23:O27,O13:O17,O33:O37))</f>
        <v>9.9174026647758904</v>
      </c>
      <c r="P44" s="44"/>
      <c r="Q44" s="44">
        <f>IF(ISERROR(AVERAGE(Q23:Q27,Q13:Q17,Q33:Q37)),"NA",AVERAGE(Q23:Q27,Q13:Q17,Q33:Q37))</f>
        <v>14.218180824547971</v>
      </c>
      <c r="R44" s="44">
        <f>IF(ISERROR(AVERAGE(R23:R27,R13:R17,R33:R37)),"NA",AVERAGE(R23:R27,R13:R17,R33:R37))</f>
        <v>14.556542250672306</v>
      </c>
      <c r="S44" s="44">
        <f>IF(ISERROR(AVERAGE(S23:S27,S13:S17,S33:S37)),"NA",AVERAGE(S23:S27,S13:S17,S33:S37))</f>
        <v>14.789999572249844</v>
      </c>
      <c r="T44" s="44"/>
      <c r="U44" s="45">
        <f>IF(ISERROR(AVERAGE(U23:U27,U13:U17,U33:U37)),"NA",AVERAGE(U23:U27,U13:U17,U33:U37))</f>
        <v>4.7906760292126753E-2</v>
      </c>
      <c r="V44" s="44">
        <f>+AVERAGE(V23:V27,V13:V17,V33:V37)</f>
        <v>5.4177983174423634</v>
      </c>
      <c r="W44" s="44"/>
      <c r="X44" s="103">
        <f>IF(ISERROR(AVERAGE(X23:X27,X13:X17,X33:X37)),"NA",AVERAGE(X23:X27,X13:X17,X33:X37))</f>
        <v>30.013688913505788</v>
      </c>
      <c r="Y44" s="44">
        <f>IF(ISERROR(AVERAGE(Y23:Y27,Y13:Y17,Y33:Y37)),"NA",AVERAGE(Y23:Y27,Y13:Y17,Y33:Y37))</f>
        <v>30.399160318323162</v>
      </c>
      <c r="Z44" s="104">
        <f>IF(ISERROR(AVERAGE(Z23:Z27,Z13:Z17,Z33:Z37)),"NA",AVERAGE(Z23:Z27,Z13:Z17,Z33:Z37))</f>
        <v>30.967235031615648</v>
      </c>
      <c r="AA44" s="4"/>
      <c r="AB44" s="45">
        <f>+AVERAGE(AB23:AB27,AB13:AB17,AB33:AB37)</f>
        <v>0.02</v>
      </c>
      <c r="AC44" s="2"/>
    </row>
    <row r="45" spans="1:29" ht="12.75" customHeight="1" x14ac:dyDescent="0.2">
      <c r="A45" s="2"/>
      <c r="B45" s="42" t="s">
        <v>55</v>
      </c>
      <c r="C45" s="43"/>
      <c r="D45" s="43"/>
      <c r="E45" s="43"/>
      <c r="F45" s="43"/>
      <c r="G45" s="43"/>
      <c r="H45" s="3"/>
      <c r="I45" s="44">
        <f>IF(ISERROR(MEDIAN(I23:I27,I13:I17,I33:I37)),"NA",MEDIAN(I23:I27,I13:I17,I33:I37))</f>
        <v>0.3706322085349299</v>
      </c>
      <c r="J45" s="44">
        <f>IF(ISERROR(MEDIAN(J23:J27,J13:J17,J33:J37)),"NA",MEDIAN(J23:J27,J13:J17,J33:J37))</f>
        <v>0.37241799100826256</v>
      </c>
      <c r="K45" s="44">
        <f>IF(ISERROR(MEDIAN(K23:K27,K13:K17,K33:K37)),"NA",MEDIAN(K23:K27,K13:K17,K33:K37))</f>
        <v>0.37388811313325115</v>
      </c>
      <c r="L45" s="44"/>
      <c r="M45" s="103">
        <f>IF(ISERROR(MEDIAN(M23:M27,M13:M17,M33:M37)),"NA",MEDIAN(M23:M27,M13:M17,M33:M37))</f>
        <v>7.0773205148141454</v>
      </c>
      <c r="N45" s="44">
        <f>IF(ISERROR(MEDIAN(N23:N27,N13:N17,N33:N37)),"NA",MEDIAN(N23:N27,N13:N17,N33:N37))</f>
        <v>7.1114205019847203</v>
      </c>
      <c r="O45" s="104">
        <f>IF(ISERROR(MEDIAN(O23:O27,O13:O17,O33:O37)),"NA",MEDIAN(O23:O27,O13:O17,O33:O37))</f>
        <v>7.1394928746210713</v>
      </c>
      <c r="P45" s="44"/>
      <c r="Q45" s="44">
        <f>IF(ISERROR(MEDIAN(Q23:Q27,Q13:Q17,Q33:Q37)),"NA",MEDIAN(Q23:Q27,Q13:Q17,Q33:Q37))</f>
        <v>13.402858557130987</v>
      </c>
      <c r="R45" s="44">
        <f>IF(ISERROR(MEDIAN(R23:R27,R13:R17,R33:R37)),"NA",MEDIAN(R23:R27,R13:R17,R33:R37))</f>
        <v>13.46743628246778</v>
      </c>
      <c r="S45" s="44">
        <f>IF(ISERROR(MEDIAN(S23:S27,S13:S17,S33:S37)),"NA",MEDIAN(S23:S27,S13:S17,S33:S37))</f>
        <v>13.520599063331643</v>
      </c>
      <c r="T45" s="44"/>
      <c r="U45" s="45">
        <f>IF(ISERROR(MEDIAN(U23:U27,U13:U17,U33:U37)),"NA",MEDIAN(U23:U27,U13:U17,U33:U37))</f>
        <v>5.2369001482853277E-2</v>
      </c>
      <c r="V45" s="44">
        <f>MEDIAN(V23:V27,V13:V17,V33:V37)</f>
        <v>4.2084972759456871</v>
      </c>
      <c r="W45" s="44"/>
      <c r="X45" s="103">
        <f>IF(ISERROR(MEDIAN(X23:X27,X13:X17,X33:X37)),"NA",MEDIAN(X23:X27,X13:X17,X33:X37))</f>
        <v>13.014719307544203</v>
      </c>
      <c r="Y45" s="44">
        <f>IF(ISERROR(MEDIAN(Y23:Y27,Y13:Y17,Y33:Y37)),"NA",MEDIAN(Y23:Y27,Y13:Y17,Y33:Y37))</f>
        <v>10.472379723528688</v>
      </c>
      <c r="Z45" s="104">
        <f>IF(ISERROR(MEDIAN(Z23:Z27,Z13:Z17,Z33:Z37)),"NA",MEDIAN(Z23:Z27,Z13:Z17,Z33:Z37))</f>
        <v>10.513719501693426</v>
      </c>
      <c r="AA45" s="4"/>
      <c r="AB45" s="45">
        <f>MEDIAN(AB23:AB27,AB13:AB17,AB33:AB37)</f>
        <v>0.02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60</v>
      </c>
      <c r="C47" s="43"/>
      <c r="D47" s="43"/>
      <c r="E47" s="43"/>
      <c r="F47" s="43"/>
      <c r="G47" s="43"/>
      <c r="H47" s="3"/>
      <c r="I47" s="44">
        <f>MAX(I23:I27,I13:I17,I33:I37)</f>
        <v>0.81058745376750507</v>
      </c>
      <c r="J47" s="44">
        <f>MAX(J23:J27,J13:J17,J33:J37)</f>
        <v>0.83565716883247954</v>
      </c>
      <c r="K47" s="44">
        <f>MAX(K23:K27,K13:K17,K33:K37)</f>
        <v>0.85271139676783636</v>
      </c>
      <c r="L47" s="44"/>
      <c r="M47" s="103">
        <f>MAX(M23:M27,M13:M17,M33:M37)</f>
        <v>14.591258758968289</v>
      </c>
      <c r="N47" s="44">
        <f>MAX(N23:N27,N13:N17,N33:N37)</f>
        <v>15.042534784774347</v>
      </c>
      <c r="O47" s="104">
        <f>MAX(O23:O27,O13:O17,O33:O37)</f>
        <v>15.349525290586069</v>
      </c>
      <c r="P47" s="44"/>
      <c r="Q47" s="44">
        <f>MAX(Q23:Q27,Q13:Q17,Q33:Q37)</f>
        <v>26.066648774836143</v>
      </c>
      <c r="R47" s="44">
        <f>MAX(R23:R27,R13:R17,R33:R37)</f>
        <v>26.872833730133248</v>
      </c>
      <c r="S47" s="44">
        <f>MAX(S23:S27,S13:S17,S33:S37)</f>
        <v>27.421258908299237</v>
      </c>
      <c r="T47" s="44"/>
      <c r="U47" s="45">
        <f>MAX(U23:U27,U13:U17,U33:U37)</f>
        <v>6.9457749047204934E-2</v>
      </c>
      <c r="V47" s="44">
        <f>MAX(V23:V27,V13:V17,V33:V37)</f>
        <v>10.217764864816523</v>
      </c>
      <c r="W47" s="44"/>
      <c r="X47" s="103">
        <f>MAX(X23:X27,X13:X17,X33:X37)</f>
        <v>96.359402043329666</v>
      </c>
      <c r="Y47" s="44">
        <f>MAX(Y23:Y27,Y13:Y17,Y33:Y37)</f>
        <v>100.34364261168385</v>
      </c>
      <c r="Z47" s="104">
        <f>MAX(Z23:Z27,Z13:Z17,Z33:Z37)</f>
        <v>102.39147205273862</v>
      </c>
      <c r="AA47" s="107"/>
      <c r="AB47" s="45">
        <f>MAX(AB23:AB27,AB13:AB17,AB33:AB37)</f>
        <v>0.02</v>
      </c>
      <c r="AC47" s="2"/>
    </row>
    <row r="48" spans="1:29" ht="12.75" customHeight="1" x14ac:dyDescent="0.2">
      <c r="A48" s="2"/>
      <c r="B48" s="42" t="s">
        <v>61</v>
      </c>
      <c r="C48" s="43"/>
      <c r="D48" s="43"/>
      <c r="E48" s="43"/>
      <c r="F48" s="43"/>
      <c r="G48" s="43"/>
      <c r="H48" s="3"/>
      <c r="I48" s="44">
        <f>MIN(I23:I27,I13:I17,I33:I37)</f>
        <v>0.24812493705174571</v>
      </c>
      <c r="J48" s="44">
        <f>MIN(J23:J27,J13:J17,J33:J37)</f>
        <v>0.24996542057081686</v>
      </c>
      <c r="K48" s="44">
        <f>MIN(K23:K27,K13:K17,K33:K37)</f>
        <v>0.25148378436164409</v>
      </c>
      <c r="L48" s="44"/>
      <c r="M48" s="103">
        <f>MIN(M23:M27,M13:M17,M33:M37)</f>
        <v>5.5838970899310034</v>
      </c>
      <c r="N48" s="44">
        <f>MIN(N23:N27,N13:N17,N33:N37)</f>
        <v>5.7565949380731976</v>
      </c>
      <c r="O48" s="104">
        <f>MIN(O23:O27,O13:O17,O33:O37)</f>
        <v>5.8740764674216299</v>
      </c>
      <c r="P48" s="44"/>
      <c r="Q48" s="44">
        <f>MIN(Q23:Q27,Q13:Q17,Q33:Q37)</f>
        <v>6.675257481974886</v>
      </c>
      <c r="R48" s="44">
        <f>MIN(R23:R27,R13:R17,R33:R37)</f>
        <v>6.7247716562739841</v>
      </c>
      <c r="S48" s="44">
        <f>MIN(S23:S27,S13:S17,S33:S37)</f>
        <v>6.7656199054484123</v>
      </c>
      <c r="T48" s="44"/>
      <c r="U48" s="45">
        <f>MIN(U23:U27,U13:U17,U33:U37)</f>
        <v>2.3342430262574085E-2</v>
      </c>
      <c r="V48" s="44">
        <f>MIN(V23:V27,V13:V17,V33:V37)</f>
        <v>2.0135016197721871</v>
      </c>
      <c r="W48" s="44"/>
      <c r="X48" s="103">
        <f>MIN(X23:X27,X13:X17,X33:X37)</f>
        <v>4.3726717736948428</v>
      </c>
      <c r="Y48" s="44">
        <f>MIN(Y23:Y27,Y13:Y17,Y33:Y37)</f>
        <v>4.5079394503684291</v>
      </c>
      <c r="Z48" s="104">
        <f>MIN(Z23:Z27,Z13:Z17,Z33:Z37)</f>
        <v>4.5999382146616625</v>
      </c>
      <c r="AA48" s="107"/>
      <c r="AB48" s="45">
        <f>MIN(AB23:AB27,AB13:AB17,AB33:AB37)</f>
        <v>0.02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62</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63</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74"/>
      <c r="N53" s="174"/>
      <c r="O53" s="174"/>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Hòa Phát (HOSE:HPG)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104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109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112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6887646.1399999997</v>
      </c>
      <c r="T8" s="180">
        <v>8300890.3039999995</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7647800.2869999995</v>
      </c>
      <c r="T9" s="182">
        <v>15042323.118000001</v>
      </c>
      <c r="U9" s="110"/>
      <c r="V9" s="2"/>
      <c r="W9" s="2"/>
      <c r="X9" s="2"/>
      <c r="Y9" s="2"/>
      <c r="Z9" s="2"/>
    </row>
    <row r="10" spans="1:26" ht="15" customHeight="1" x14ac:dyDescent="0.2">
      <c r="A10" s="24"/>
      <c r="B10" s="111" t="s">
        <v>118</v>
      </c>
      <c r="C10" s="111"/>
      <c r="D10" s="121"/>
      <c r="E10" s="150">
        <v>46022</v>
      </c>
      <c r="F10" s="2"/>
      <c r="G10" s="122" t="s">
        <v>34</v>
      </c>
      <c r="H10" s="122"/>
      <c r="I10" s="180">
        <v>118953027.89399999</v>
      </c>
      <c r="J10" s="180">
        <v>138855112.13100001</v>
      </c>
      <c r="K10" s="180">
        <v>156116094.618</v>
      </c>
      <c r="L10" s="183">
        <v>0</v>
      </c>
      <c r="M10" s="184">
        <v>0</v>
      </c>
      <c r="N10" s="185">
        <f>K10+M10-L10</f>
        <v>156116094.618</v>
      </c>
      <c r="O10" s="2"/>
      <c r="P10" s="111" t="s">
        <v>119</v>
      </c>
      <c r="Q10" s="123"/>
      <c r="R10" s="123"/>
      <c r="S10" s="182">
        <v>46091222.189000003</v>
      </c>
      <c r="T10" s="182">
        <v>52828227.343999997</v>
      </c>
      <c r="U10" s="110"/>
      <c r="V10" s="2"/>
      <c r="W10" s="2"/>
      <c r="X10" s="2"/>
      <c r="Y10" s="2"/>
      <c r="Z10" s="2"/>
    </row>
    <row r="11" spans="1:26" ht="15" customHeight="1" x14ac:dyDescent="0.2">
      <c r="A11" s="24"/>
      <c r="B11" s="111" t="s">
        <v>120</v>
      </c>
      <c r="C11" s="111"/>
      <c r="D11" s="117"/>
      <c r="E11" s="149" t="s">
        <v>121</v>
      </c>
      <c r="F11" s="2"/>
      <c r="G11" s="111" t="s">
        <v>122</v>
      </c>
      <c r="H11" s="111"/>
      <c r="I11" s="182">
        <v>106015187.198</v>
      </c>
      <c r="J11" s="182">
        <v>120357563.00399999</v>
      </c>
      <c r="K11" s="182">
        <v>131618306.435</v>
      </c>
      <c r="L11" s="186">
        <v>0</v>
      </c>
      <c r="M11" s="187">
        <v>0</v>
      </c>
      <c r="N11" s="188">
        <f>K11+M11-L11</f>
        <v>131618306.435</v>
      </c>
      <c r="O11" s="189"/>
      <c r="P11" s="111" t="s">
        <v>123</v>
      </c>
      <c r="Q11" s="190"/>
      <c r="R11" s="190"/>
      <c r="S11" s="182">
        <v>26047607.657000002</v>
      </c>
      <c r="T11" s="182">
        <v>27487961.993999999</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12937840.695999995</v>
      </c>
      <c r="J12" s="185">
        <f t="shared" si="0"/>
        <v>18497549.127000019</v>
      </c>
      <c r="K12" s="185">
        <f t="shared" si="0"/>
        <v>24497788.182999998</v>
      </c>
      <c r="L12" s="191">
        <f t="shared" si="0"/>
        <v>0</v>
      </c>
      <c r="M12" s="192">
        <f t="shared" si="0"/>
        <v>0</v>
      </c>
      <c r="N12" s="185">
        <f t="shared" si="0"/>
        <v>24497788.182999998</v>
      </c>
      <c r="O12" s="2"/>
      <c r="P12" s="124" t="s">
        <v>126</v>
      </c>
      <c r="Q12" s="120"/>
      <c r="R12" s="120"/>
      <c r="S12" s="185">
        <f>SUM(S8:S11)</f>
        <v>86674276.273000002</v>
      </c>
      <c r="T12" s="185">
        <f>SUM(T8:T11)</f>
        <v>103659402.76000001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3268652.4670000002</v>
      </c>
      <c r="J13" s="182">
        <v>3882824.7080000001</v>
      </c>
      <c r="K13" s="182">
        <v>4070168.0690000001</v>
      </c>
      <c r="L13" s="186">
        <v>0</v>
      </c>
      <c r="M13" s="187">
        <v>0</v>
      </c>
      <c r="N13" s="195">
        <f>K13+M13-L13</f>
        <v>4070168.0690000001</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-1708618.1979999989</v>
      </c>
      <c r="J14" s="197">
        <v>-1366138.652000003</v>
      </c>
      <c r="K14" s="197">
        <v>-727827.73299999908</v>
      </c>
      <c r="L14" s="198">
        <v>0</v>
      </c>
      <c r="M14" s="199">
        <v>0</v>
      </c>
      <c r="N14" s="200">
        <f>K14+M14-L14</f>
        <v>-727827.73299999908</v>
      </c>
      <c r="O14" s="2"/>
      <c r="P14" s="111" t="s">
        <v>131</v>
      </c>
      <c r="Q14" s="123"/>
      <c r="R14" s="123"/>
      <c r="S14" s="182">
        <v>67428366.953999996</v>
      </c>
      <c r="T14" s="182">
        <v>133608057.86</v>
      </c>
      <c r="U14" s="110"/>
      <c r="V14" s="2"/>
      <c r="W14" s="2"/>
      <c r="X14" s="2"/>
      <c r="Y14" s="2"/>
      <c r="Z14" s="2"/>
    </row>
    <row r="15" spans="1:26" ht="12.75" customHeight="1" x14ac:dyDescent="0.2">
      <c r="A15" s="24"/>
      <c r="B15" s="2"/>
      <c r="C15" s="2"/>
      <c r="D15" s="2"/>
      <c r="E15" s="2"/>
      <c r="F15" s="2"/>
      <c r="G15" s="122" t="s">
        <v>132</v>
      </c>
      <c r="H15" s="125"/>
      <c r="I15" s="185">
        <f t="shared" ref="I15:N15" si="1">I12-SUM(I13:I14)</f>
        <v>11377806.426999994</v>
      </c>
      <c r="J15" s="185">
        <f t="shared" si="1"/>
        <v>15980863.071000021</v>
      </c>
      <c r="K15" s="185">
        <f t="shared" si="1"/>
        <v>21155447.846999995</v>
      </c>
      <c r="L15" s="191">
        <f t="shared" si="1"/>
        <v>0</v>
      </c>
      <c r="M15" s="192">
        <f t="shared" si="1"/>
        <v>0</v>
      </c>
      <c r="N15" s="185">
        <f t="shared" si="1"/>
        <v>21155447.846999995</v>
      </c>
      <c r="O15" s="2"/>
      <c r="P15" s="111" t="s">
        <v>133</v>
      </c>
      <c r="Q15" s="120"/>
      <c r="R15" s="120"/>
      <c r="S15" s="182">
        <v>247829.10500000001</v>
      </c>
      <c r="T15" s="182">
        <v>238724.34899999999</v>
      </c>
      <c r="U15" s="110"/>
      <c r="V15" s="2"/>
      <c r="W15" s="2"/>
      <c r="X15" s="2"/>
      <c r="Y15" s="2"/>
      <c r="Z15" s="2"/>
    </row>
    <row r="16" spans="1:26" ht="15" customHeight="1" x14ac:dyDescent="0.2">
      <c r="A16" s="24"/>
      <c r="B16" s="271" t="s">
        <v>134</v>
      </c>
      <c r="C16" s="269"/>
      <c r="D16" s="269"/>
      <c r="E16" s="269"/>
      <c r="F16" s="2"/>
      <c r="G16" s="111" t="s">
        <v>135</v>
      </c>
      <c r="H16" s="125"/>
      <c r="I16" s="182">
        <v>3585077.6839999999</v>
      </c>
      <c r="J16" s="182">
        <v>2287360.8110000002</v>
      </c>
      <c r="K16" s="182">
        <v>3114855.8689999999</v>
      </c>
      <c r="L16" s="186">
        <v>0</v>
      </c>
      <c r="M16" s="187">
        <v>0</v>
      </c>
      <c r="N16" s="188">
        <f>K16+M16-L16</f>
        <v>3114855.8689999999</v>
      </c>
      <c r="O16" s="2"/>
      <c r="P16" s="111" t="s">
        <v>136</v>
      </c>
      <c r="Q16" s="123"/>
      <c r="R16" s="123"/>
      <c r="S16" s="182">
        <v>70139235.221999988</v>
      </c>
      <c r="T16" s="182">
        <v>20393015.84899997</v>
      </c>
      <c r="U16" s="110"/>
      <c r="V16" s="2"/>
      <c r="W16" s="2"/>
      <c r="X16" s="2"/>
      <c r="Y16" s="2"/>
      <c r="Z16" s="2"/>
    </row>
    <row r="17" spans="1:26" ht="15" customHeight="1" x14ac:dyDescent="0.2">
      <c r="A17" s="24"/>
      <c r="B17" s="111" t="s">
        <v>137</v>
      </c>
      <c r="C17" s="111"/>
      <c r="D17" s="126">
        <v>0</v>
      </c>
      <c r="E17" s="201">
        <v>23600</v>
      </c>
      <c r="F17" s="2"/>
      <c r="G17" s="122" t="s">
        <v>138</v>
      </c>
      <c r="H17" s="111"/>
      <c r="I17" s="185">
        <f t="shared" ref="I17:N17" si="2">I15-SUM(I16)</f>
        <v>7792728.7429999933</v>
      </c>
      <c r="J17" s="185">
        <f t="shared" si="2"/>
        <v>13693502.26000002</v>
      </c>
      <c r="K17" s="185">
        <f t="shared" si="2"/>
        <v>18040591.977999996</v>
      </c>
      <c r="L17" s="191">
        <f t="shared" si="2"/>
        <v>0</v>
      </c>
      <c r="M17" s="192">
        <f t="shared" si="2"/>
        <v>0</v>
      </c>
      <c r="N17" s="185">
        <f t="shared" si="2"/>
        <v>18040591.977999996</v>
      </c>
      <c r="O17" s="2"/>
      <c r="P17" s="124" t="s">
        <v>139</v>
      </c>
      <c r="Q17" s="120"/>
      <c r="R17" s="120"/>
      <c r="S17" s="202">
        <f>SUM(S12:S16)</f>
        <v>224489707.55399996</v>
      </c>
      <c r="T17" s="202">
        <f>SUM(T12:T16)</f>
        <v>257899200.81799999</v>
      </c>
      <c r="U17" s="110"/>
      <c r="V17" s="2"/>
      <c r="W17" s="2"/>
      <c r="X17" s="2"/>
      <c r="Y17" s="2"/>
      <c r="Z17" s="2"/>
    </row>
    <row r="18" spans="1:26" ht="12.75" customHeight="1" x14ac:dyDescent="0.2">
      <c r="A18" s="127"/>
      <c r="B18" s="128" t="s">
        <v>140</v>
      </c>
      <c r="C18" s="128"/>
      <c r="D18" s="129"/>
      <c r="E18" s="203">
        <f>+IF(ISERROR(E17/E19),"NA",E17/E19)</f>
        <v>0.85690425184270724</v>
      </c>
      <c r="F18" s="2"/>
      <c r="G18" s="111" t="s">
        <v>141</v>
      </c>
      <c r="H18" s="111"/>
      <c r="I18" s="182">
        <v>992340.42800000007</v>
      </c>
      <c r="J18" s="182">
        <v>1673478.64</v>
      </c>
      <c r="K18" s="182">
        <v>2525660.406</v>
      </c>
      <c r="L18" s="186">
        <v>0</v>
      </c>
      <c r="M18" s="187">
        <v>0</v>
      </c>
      <c r="N18" s="195">
        <f>K18+M18-L18</f>
        <v>2525660.406</v>
      </c>
      <c r="O18" s="2"/>
      <c r="P18" s="111"/>
      <c r="Q18" s="111"/>
      <c r="R18" s="111"/>
      <c r="S18" s="111"/>
      <c r="T18" s="111"/>
      <c r="U18" s="110"/>
      <c r="V18" s="2"/>
      <c r="W18" s="2"/>
      <c r="X18" s="2"/>
      <c r="Y18" s="2"/>
      <c r="Z18" s="2"/>
    </row>
    <row r="19" spans="1:26" ht="15" customHeight="1" x14ac:dyDescent="0.2">
      <c r="A19" s="24"/>
      <c r="B19" s="111" t="s">
        <v>142</v>
      </c>
      <c r="C19" s="111"/>
      <c r="D19" s="204">
        <v>0</v>
      </c>
      <c r="E19" s="205">
        <v>27541</v>
      </c>
      <c r="F19" s="2"/>
      <c r="G19" s="111" t="s">
        <v>143</v>
      </c>
      <c r="H19" s="111"/>
      <c r="I19" s="197">
        <v>-34676.019</v>
      </c>
      <c r="J19" s="197">
        <v>-1420.2149999999999</v>
      </c>
      <c r="K19" s="197">
        <v>61757.565000000002</v>
      </c>
      <c r="L19" s="198">
        <v>0</v>
      </c>
      <c r="M19" s="199">
        <v>0</v>
      </c>
      <c r="N19" s="206">
        <f>K19+M19-L19</f>
        <v>61757.565000000002</v>
      </c>
      <c r="O19" s="2"/>
      <c r="P19" s="111" t="s">
        <v>144</v>
      </c>
      <c r="Q19" s="123"/>
      <c r="R19" s="123"/>
      <c r="S19" s="182">
        <v>14046841.16</v>
      </c>
      <c r="T19" s="182">
        <v>21183376.048999999</v>
      </c>
      <c r="U19" s="110"/>
      <c r="V19" s="2"/>
      <c r="W19" s="2"/>
      <c r="X19" s="2"/>
      <c r="Y19" s="2"/>
      <c r="Z19" s="2"/>
    </row>
    <row r="20" spans="1:26" ht="15" customHeight="1" x14ac:dyDescent="0.2">
      <c r="A20" s="24"/>
      <c r="B20" s="111" t="s">
        <v>145</v>
      </c>
      <c r="C20" s="111"/>
      <c r="D20" s="204">
        <v>0</v>
      </c>
      <c r="E20" s="205">
        <v>19342</v>
      </c>
      <c r="F20" s="2"/>
      <c r="G20" s="111" t="s">
        <v>146</v>
      </c>
      <c r="H20" s="111"/>
      <c r="I20" s="197">
        <v>0</v>
      </c>
      <c r="J20" s="197">
        <v>0</v>
      </c>
      <c r="K20" s="197">
        <v>0</v>
      </c>
      <c r="L20" s="198">
        <v>0</v>
      </c>
      <c r="M20" s="199">
        <v>0</v>
      </c>
      <c r="N20" s="200">
        <f>K20+M20-L20</f>
        <v>0</v>
      </c>
      <c r="O20" s="2"/>
      <c r="P20" s="111" t="s">
        <v>147</v>
      </c>
      <c r="Q20" s="190"/>
      <c r="R20" s="190"/>
      <c r="S20" s="182">
        <v>2634304.9720000001</v>
      </c>
      <c r="T20" s="182">
        <v>3373314.4360000002</v>
      </c>
      <c r="U20" s="110"/>
      <c r="V20" s="2"/>
      <c r="W20" s="2"/>
      <c r="X20" s="2"/>
      <c r="Y20" s="2"/>
      <c r="Z20" s="2"/>
    </row>
    <row r="21" spans="1:26" ht="15" customHeight="1" x14ac:dyDescent="0.2">
      <c r="A21" s="24"/>
      <c r="B21" s="111" t="s">
        <v>148</v>
      </c>
      <c r="C21" s="111"/>
      <c r="D21" s="111"/>
      <c r="E21" s="205">
        <v>450</v>
      </c>
      <c r="F21" s="2"/>
      <c r="G21" s="122" t="s">
        <v>149</v>
      </c>
      <c r="H21" s="111"/>
      <c r="I21" s="202">
        <f t="shared" ref="I21:N21" si="3">I17-SUM(I18:I20)</f>
        <v>6835064.3339999933</v>
      </c>
      <c r="J21" s="202">
        <f t="shared" si="3"/>
        <v>12021443.83500002</v>
      </c>
      <c r="K21" s="202">
        <f t="shared" si="3"/>
        <v>15453174.006999996</v>
      </c>
      <c r="L21" s="207">
        <f t="shared" si="3"/>
        <v>0</v>
      </c>
      <c r="M21" s="208">
        <f t="shared" si="3"/>
        <v>0</v>
      </c>
      <c r="N21" s="202">
        <f t="shared" si="3"/>
        <v>15453174.006999996</v>
      </c>
      <c r="O21" s="2"/>
      <c r="P21" s="111" t="s">
        <v>150</v>
      </c>
      <c r="Q21" s="120"/>
      <c r="R21" s="120"/>
      <c r="S21" s="182">
        <v>58544097.130999997</v>
      </c>
      <c r="T21" s="182">
        <v>69629577.840000004</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0.12734184144307523</v>
      </c>
      <c r="J22" s="203">
        <f t="shared" si="4"/>
        <v>0.12220968808603369</v>
      </c>
      <c r="K22" s="203">
        <f t="shared" si="4"/>
        <v>0.1399987544244653</v>
      </c>
      <c r="L22" s="209" t="str">
        <f t="shared" si="4"/>
        <v>NA</v>
      </c>
      <c r="M22" s="210" t="str">
        <f t="shared" si="4"/>
        <v>NA</v>
      </c>
      <c r="N22" s="203">
        <f t="shared" si="4"/>
        <v>0.1399987544244653</v>
      </c>
      <c r="O22" s="2"/>
      <c r="P22" s="124" t="s">
        <v>152</v>
      </c>
      <c r="Q22" s="123"/>
      <c r="R22" s="123"/>
      <c r="S22" s="185">
        <f>SUM(S19:S21)</f>
        <v>75225243.262999997</v>
      </c>
      <c r="T22" s="185">
        <f>SUM(T19:T21)</f>
        <v>94186268.325000003</v>
      </c>
      <c r="U22" s="110"/>
      <c r="V22" s="2"/>
      <c r="W22" s="2"/>
      <c r="X22" s="2"/>
      <c r="Y22" s="2"/>
      <c r="Z22" s="2"/>
    </row>
    <row r="23" spans="1:26" ht="15" customHeight="1" x14ac:dyDescent="0.2">
      <c r="A23" s="24"/>
      <c r="B23" s="111" t="s">
        <v>153</v>
      </c>
      <c r="C23" s="111"/>
      <c r="D23" s="111"/>
      <c r="E23" s="211">
        <f>+T40</f>
        <v>8442.9645199999995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199253962.67199999</v>
      </c>
      <c r="F24" s="2"/>
      <c r="G24" s="111" t="s">
        <v>155</v>
      </c>
      <c r="H24" s="111"/>
      <c r="I24" s="182">
        <v>8442.9645199999995</v>
      </c>
      <c r="J24" s="182">
        <v>8442.9645199999995</v>
      </c>
      <c r="K24" s="182">
        <v>8442.9645199999995</v>
      </c>
      <c r="L24" s="186">
        <v>0</v>
      </c>
      <c r="M24" s="187">
        <v>0</v>
      </c>
      <c r="N24" s="195">
        <f>+IF(ISERROR(K24+M24-L24),"NA",K24+M24-L24)</f>
        <v>8442.9645199999995</v>
      </c>
      <c r="O24" s="2"/>
      <c r="P24" s="133" t="s">
        <v>156</v>
      </c>
      <c r="Q24" s="120"/>
      <c r="R24" s="120"/>
      <c r="S24" s="182">
        <v>82963129.468999997</v>
      </c>
      <c r="T24" s="182">
        <v>92174151.302000001</v>
      </c>
      <c r="U24" s="110"/>
      <c r="V24" s="2"/>
      <c r="W24" s="2"/>
      <c r="X24" s="2"/>
      <c r="Y24" s="2"/>
      <c r="Z24" s="2"/>
    </row>
    <row r="25" spans="1:26" ht="15" customHeight="1" x14ac:dyDescent="0.2">
      <c r="A25" s="24"/>
      <c r="B25" s="111"/>
      <c r="C25" s="111"/>
      <c r="D25" s="111"/>
      <c r="E25" s="111"/>
      <c r="F25" s="2"/>
      <c r="G25" s="111" t="s">
        <v>157</v>
      </c>
      <c r="H25" s="111"/>
      <c r="I25" s="213">
        <f>IF(ISERROR(I21/I24),"NA",I21/I24)</f>
        <v>809.5573915783782</v>
      </c>
      <c r="J25" s="213">
        <f>+IF(ISERROR(J21/J24),"NA",J21/J24)</f>
        <v>1423.8415673219033</v>
      </c>
      <c r="K25" s="213">
        <f>+IF(ISERROR(K21/K24),"NA",K21/K24)</f>
        <v>1830.3019005224951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92174151.302000001</v>
      </c>
      <c r="F26" s="2"/>
      <c r="G26" s="2"/>
      <c r="H26" s="2"/>
      <c r="I26" s="2"/>
      <c r="J26" s="2"/>
      <c r="K26" s="2"/>
      <c r="L26" s="2"/>
      <c r="M26" s="2"/>
      <c r="N26" s="2"/>
      <c r="O26" s="2"/>
      <c r="P26" s="124" t="s">
        <v>160</v>
      </c>
      <c r="Q26" s="111"/>
      <c r="R26" s="111"/>
      <c r="S26" s="185">
        <f>S22+SUM(S24:S25)</f>
        <v>158188372.73199999</v>
      </c>
      <c r="T26" s="185">
        <f>T22+SUM(T24:T25)</f>
        <v>186360419.627</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61757.565000000002</v>
      </c>
      <c r="F28" s="2"/>
      <c r="G28" s="271" t="s">
        <v>163</v>
      </c>
      <c r="H28" s="269"/>
      <c r="I28" s="269"/>
      <c r="J28" s="269"/>
      <c r="K28" s="269"/>
      <c r="L28" s="269"/>
      <c r="M28" s="269"/>
      <c r="N28" s="269"/>
      <c r="O28" s="2"/>
      <c r="P28" s="111" t="s">
        <v>143</v>
      </c>
      <c r="Q28" s="136"/>
      <c r="R28" s="136"/>
      <c r="S28" s="182">
        <v>-1420.2149999999999</v>
      </c>
      <c r="T28" s="182">
        <v>61757.565000000002</v>
      </c>
      <c r="U28" s="110"/>
      <c r="V28" s="2"/>
      <c r="W28" s="2"/>
      <c r="X28" s="2"/>
      <c r="Y28" s="2"/>
      <c r="Z28" s="2"/>
    </row>
    <row r="29" spans="1:26" ht="15" customHeight="1" x14ac:dyDescent="0.2">
      <c r="A29" s="24"/>
      <c r="B29" s="111" t="s">
        <v>164</v>
      </c>
      <c r="C29" s="111"/>
      <c r="D29" s="111"/>
      <c r="E29" s="217">
        <f>-T8</f>
        <v>-8300890.3039999995</v>
      </c>
      <c r="F29" s="2"/>
      <c r="G29" s="111" t="s">
        <v>165</v>
      </c>
      <c r="H29" s="111"/>
      <c r="I29" s="218">
        <f t="shared" ref="I29:N29" si="5">I12</f>
        <v>12937840.695999995</v>
      </c>
      <c r="J29" s="218">
        <f t="shared" si="5"/>
        <v>18497549.127000019</v>
      </c>
      <c r="K29" s="218">
        <f t="shared" si="5"/>
        <v>24497788.182999998</v>
      </c>
      <c r="L29" s="219">
        <f t="shared" si="5"/>
        <v>0</v>
      </c>
      <c r="M29" s="220">
        <f t="shared" si="5"/>
        <v>0</v>
      </c>
      <c r="N29" s="218">
        <f t="shared" si="5"/>
        <v>24497788.182999998</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283188981.23499995</v>
      </c>
      <c r="F30" s="221"/>
      <c r="G30" s="111" t="s">
        <v>168</v>
      </c>
      <c r="H30" s="111"/>
      <c r="I30" s="223">
        <v>0</v>
      </c>
      <c r="J30" s="223">
        <v>0</v>
      </c>
      <c r="K30" s="223">
        <v>0</v>
      </c>
      <c r="L30" s="186">
        <v>0</v>
      </c>
      <c r="M30" s="187">
        <v>0</v>
      </c>
      <c r="N30" s="188">
        <f>K30+M30-L30</f>
        <v>0</v>
      </c>
      <c r="O30" s="2"/>
      <c r="P30" s="133" t="s">
        <v>169</v>
      </c>
      <c r="Q30" s="224"/>
      <c r="R30" s="224"/>
      <c r="S30" s="182">
        <v>114647457.984</v>
      </c>
      <c r="T30" s="182">
        <v>131220010.877</v>
      </c>
      <c r="U30" s="2"/>
      <c r="V30" s="2"/>
      <c r="W30" s="2"/>
      <c r="X30" s="2"/>
      <c r="Y30" s="2"/>
      <c r="Z30" s="2"/>
    </row>
    <row r="31" spans="1:26" ht="15" customHeight="1" x14ac:dyDescent="0.2">
      <c r="A31" s="24"/>
      <c r="B31" s="2"/>
      <c r="C31" s="2"/>
      <c r="D31" s="2"/>
      <c r="E31" s="2"/>
      <c r="F31" s="221"/>
      <c r="G31" s="122" t="s">
        <v>170</v>
      </c>
      <c r="H31" s="111"/>
      <c r="I31" s="185">
        <f t="shared" ref="I31:N31" si="6">SUM(I29:I30)</f>
        <v>12937840.695999995</v>
      </c>
      <c r="J31" s="185">
        <f t="shared" si="6"/>
        <v>18497549.127000019</v>
      </c>
      <c r="K31" s="185">
        <f t="shared" si="6"/>
        <v>24497788.182999998</v>
      </c>
      <c r="L31" s="191">
        <f t="shared" si="6"/>
        <v>0</v>
      </c>
      <c r="M31" s="192">
        <f t="shared" si="6"/>
        <v>0</v>
      </c>
      <c r="N31" s="185">
        <f t="shared" si="6"/>
        <v>24497788.182999998</v>
      </c>
      <c r="O31" s="2"/>
      <c r="P31" s="124" t="s">
        <v>171</v>
      </c>
      <c r="Q31" s="224"/>
      <c r="R31" s="224"/>
      <c r="S31" s="202">
        <f>S26+SUM(S28:S30)</f>
        <v>272834410.50099999</v>
      </c>
      <c r="T31" s="202">
        <f>T26+SUM(T28:T30)</f>
        <v>317642188.06900001</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0.1087642822133877</v>
      </c>
      <c r="J32" s="203">
        <f t="shared" si="7"/>
        <v>0.13321475056351462</v>
      </c>
      <c r="K32" s="203">
        <f t="shared" si="7"/>
        <v>0.15692032421733046</v>
      </c>
      <c r="L32" s="209" t="str">
        <f t="shared" si="7"/>
        <v>NA</v>
      </c>
      <c r="M32" s="210" t="str">
        <f t="shared" si="7"/>
        <v>NA</v>
      </c>
      <c r="N32" s="203">
        <f t="shared" si="7"/>
        <v>0.15692032421733046</v>
      </c>
      <c r="O32" s="2"/>
      <c r="P32" s="128" t="s">
        <v>174</v>
      </c>
      <c r="Q32" s="137"/>
      <c r="R32" s="137"/>
      <c r="S32" s="225">
        <f>S17-S31</f>
        <v>-48344702.947000027</v>
      </c>
      <c r="T32" s="225">
        <f>T17-T31</f>
        <v>-59742987.251000017</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11377806.426999994</v>
      </c>
      <c r="J34" s="218">
        <f t="shared" si="8"/>
        <v>15980863.071000021</v>
      </c>
      <c r="K34" s="218">
        <f t="shared" si="8"/>
        <v>21155447.846999995</v>
      </c>
      <c r="L34" s="227">
        <f t="shared" si="8"/>
        <v>0</v>
      </c>
      <c r="M34" s="228">
        <f t="shared" si="8"/>
        <v>0</v>
      </c>
      <c r="N34" s="218">
        <f t="shared" si="8"/>
        <v>21155447.846999995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1.8139640370067815</v>
      </c>
      <c r="D35" s="229">
        <f>IF(ISERROR($E$30/D36),"NA",$E$30/D36)</f>
        <v>1.5997654030530017</v>
      </c>
      <c r="E35" s="229">
        <f>IF(ISERROR($E$30/E36),"NA",$E$30/E36)</f>
        <v>1.4414990452968073</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8442.9645199999995</v>
      </c>
      <c r="U35" s="110"/>
      <c r="V35" s="2"/>
      <c r="W35" s="2"/>
      <c r="X35" s="2"/>
      <c r="Y35" s="2"/>
      <c r="Z35" s="2"/>
    </row>
    <row r="36" spans="1:26" ht="15" customHeight="1" x14ac:dyDescent="0.2">
      <c r="A36" s="24"/>
      <c r="B36" s="111" t="s">
        <v>181</v>
      </c>
      <c r="C36" s="218">
        <f>N10</f>
        <v>156116094.618</v>
      </c>
      <c r="D36" s="180">
        <v>177019068.35499781</v>
      </c>
      <c r="E36" s="180">
        <v>196454504.88431701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9.5587567682129357</v>
      </c>
      <c r="D37" s="229">
        <f>IF(ISERROR($E$30/D38),"NA",$E$30/D38)</f>
        <v>8.430028414024509</v>
      </c>
      <c r="E37" s="229">
        <f>IF(ISERROR($E$30/E38),"NA",$E$30/E38)</f>
        <v>7.5960374486475146</v>
      </c>
      <c r="F37" s="2"/>
      <c r="G37" s="122" t="s">
        <v>185</v>
      </c>
      <c r="H37" s="111"/>
      <c r="I37" s="185">
        <f t="shared" ref="I37:N37" si="10">SUM(I34:I36)</f>
        <v>11377806.426999994</v>
      </c>
      <c r="J37" s="185">
        <f t="shared" si="10"/>
        <v>15980863.071000021</v>
      </c>
      <c r="K37" s="185">
        <f t="shared" si="10"/>
        <v>21155447.846999995</v>
      </c>
      <c r="L37" s="191">
        <f t="shared" si="10"/>
        <v>0</v>
      </c>
      <c r="M37" s="192">
        <f t="shared" si="10"/>
        <v>0</v>
      </c>
      <c r="N37" s="185">
        <f t="shared" si="10"/>
        <v>21155447.846999995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29626131.106999993</v>
      </c>
      <c r="D38" s="180">
        <v>33592885.732612267</v>
      </c>
      <c r="E38" s="180">
        <v>37281146.011914693</v>
      </c>
      <c r="F38" s="2"/>
      <c r="G38" s="128" t="s">
        <v>173</v>
      </c>
      <c r="H38" s="128"/>
      <c r="I38" s="203">
        <f t="shared" ref="I38:N38" si="11">IF(ISERROR(I37/I10),"NA",I37/I10)</f>
        <v>9.5649573856487702E-2</v>
      </c>
      <c r="J38" s="203">
        <f t="shared" si="11"/>
        <v>0.11509020320348885</v>
      </c>
      <c r="K38" s="203">
        <f t="shared" si="11"/>
        <v>0.13551099839363262</v>
      </c>
      <c r="L38" s="209" t="str">
        <f t="shared" si="11"/>
        <v>NA</v>
      </c>
      <c r="M38" s="210" t="str">
        <f t="shared" si="11"/>
        <v>NA</v>
      </c>
      <c r="N38" s="203">
        <f t="shared" si="11"/>
        <v>0.13551099839363262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13.386101929066859</v>
      </c>
      <c r="D39" s="229">
        <f>IF(ISERROR($E$30/D40),"NA",$E$30/D40)</f>
        <v>11.80542850408348</v>
      </c>
      <c r="E39" s="229">
        <f>IF(ISERROR($E$30/E40),"NA",$E$30/E40)</f>
        <v>10.637505902727822</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21155447.846999995</v>
      </c>
      <c r="D40" s="180">
        <v>23988030.687496461</v>
      </c>
      <c r="E40" s="180">
        <v>26621746.095800571</v>
      </c>
      <c r="F40" s="237"/>
      <c r="G40" s="111" t="s">
        <v>190</v>
      </c>
      <c r="H40" s="111"/>
      <c r="I40" s="139">
        <f t="shared" ref="I40:N40" si="12">+I56</f>
        <v>6761933.5389999999</v>
      </c>
      <c r="J40" s="139">
        <f t="shared" si="12"/>
        <v>6915671.3310000002</v>
      </c>
      <c r="K40" s="139">
        <f t="shared" si="12"/>
        <v>8470683.2599999998</v>
      </c>
      <c r="L40" s="140">
        <f t="shared" si="12"/>
        <v>0</v>
      </c>
      <c r="M40" s="141">
        <f t="shared" si="12"/>
        <v>0</v>
      </c>
      <c r="N40" s="139">
        <f t="shared" si="12"/>
        <v>8470683.2599999998</v>
      </c>
      <c r="O40" s="2"/>
      <c r="P40" s="122" t="s">
        <v>191</v>
      </c>
      <c r="Q40" s="111"/>
      <c r="R40" s="111"/>
      <c r="S40" s="111"/>
      <c r="T40" s="238">
        <f>T35+SUM(T38:T39)</f>
        <v>8442.9645199999995</v>
      </c>
      <c r="U40" s="110"/>
      <c r="V40" s="2"/>
      <c r="W40" s="2"/>
      <c r="X40" s="2"/>
      <c r="Y40" s="2"/>
      <c r="Z40" s="2"/>
    </row>
    <row r="41" spans="1:26" ht="12.75" customHeight="1" x14ac:dyDescent="0.2">
      <c r="A41" s="24"/>
      <c r="B41" s="111" t="s">
        <v>192</v>
      </c>
      <c r="C41" s="229">
        <f>IF(ISERROR($E$17/N52),"NA",E17/N52)</f>
        <v>12.894047694133368</v>
      </c>
      <c r="D41" s="229">
        <f>IF(ISERROR($E$17/D42),"NA",$E$17/D42)</f>
        <v>10.549030438581802</v>
      </c>
      <c r="E41" s="229">
        <f>IF(ISERROR($E$17/E42),"NA",$E$17/E42)</f>
        <v>9.5054045280655632</v>
      </c>
      <c r="F41" s="2"/>
      <c r="G41" s="122" t="s">
        <v>193</v>
      </c>
      <c r="H41" s="111"/>
      <c r="I41" s="185">
        <f t="shared" ref="I41:N41" si="13">I40+I37</f>
        <v>18139739.965999994</v>
      </c>
      <c r="J41" s="185">
        <f t="shared" si="13"/>
        <v>22896534.402000021</v>
      </c>
      <c r="K41" s="185">
        <f t="shared" si="13"/>
        <v>29626131.106999993</v>
      </c>
      <c r="L41" s="191">
        <f t="shared" si="13"/>
        <v>0</v>
      </c>
      <c r="M41" s="192">
        <f t="shared" si="13"/>
        <v>0</v>
      </c>
      <c r="N41" s="185">
        <f t="shared" si="13"/>
        <v>29626131.106999993</v>
      </c>
      <c r="O41" s="2"/>
      <c r="P41" s="111"/>
      <c r="Q41" s="111"/>
      <c r="R41" s="111"/>
      <c r="S41" s="111"/>
      <c r="T41" s="111"/>
      <c r="U41" s="110"/>
      <c r="V41" s="2"/>
      <c r="W41" s="2"/>
      <c r="X41" s="2"/>
      <c r="Y41" s="2"/>
      <c r="Z41" s="2"/>
    </row>
    <row r="42" spans="1:26" ht="15" customHeight="1" x14ac:dyDescent="0.2">
      <c r="A42" s="24"/>
      <c r="B42" s="111" t="s">
        <v>181</v>
      </c>
      <c r="C42" s="213">
        <f>N52</f>
        <v>1830.3019005224951</v>
      </c>
      <c r="D42" s="201">
        <v>2237.1724242718892</v>
      </c>
      <c r="E42" s="201">
        <v>2482.7980682272778</v>
      </c>
      <c r="F42" s="2"/>
      <c r="G42" s="128" t="s">
        <v>173</v>
      </c>
      <c r="H42" s="128"/>
      <c r="I42" s="203">
        <f t="shared" ref="I42:N42" si="14">IF(ISERROR(I41/I10),"NA",I41/I10)</f>
        <v>0.1524949829958466</v>
      </c>
      <c r="J42" s="203">
        <f t="shared" si="14"/>
        <v>0.16489514898377494</v>
      </c>
      <c r="K42" s="203">
        <f t="shared" si="14"/>
        <v>0.18976987080987442</v>
      </c>
      <c r="L42" s="209" t="str">
        <f t="shared" si="14"/>
        <v>NA</v>
      </c>
      <c r="M42" s="210" t="str">
        <f t="shared" si="14"/>
        <v>NA</v>
      </c>
      <c r="N42" s="203">
        <f t="shared" si="14"/>
        <v>0.18976987080987442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6835064.3339999933</v>
      </c>
      <c r="J44" s="218">
        <f t="shared" si="15"/>
        <v>12021443.83500002</v>
      </c>
      <c r="K44" s="218">
        <f t="shared" si="15"/>
        <v>15453174.006999996</v>
      </c>
      <c r="L44" s="227">
        <f t="shared" si="15"/>
        <v>0</v>
      </c>
      <c r="M44" s="228">
        <f t="shared" si="15"/>
        <v>0</v>
      </c>
      <c r="N44" s="218">
        <f t="shared" si="15"/>
        <v>15453174.006999996</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0.10426122544886812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0.12570328298077021</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6.4069358722000702E-2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7.6271186440677971E-2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6835064.3339999933</v>
      </c>
      <c r="J49" s="202">
        <f t="shared" si="19"/>
        <v>12021443.83500002</v>
      </c>
      <c r="K49" s="202">
        <f t="shared" si="19"/>
        <v>15453174.006999996</v>
      </c>
      <c r="L49" s="207">
        <f t="shared" si="19"/>
        <v>0</v>
      </c>
      <c r="M49" s="208">
        <f t="shared" si="19"/>
        <v>0</v>
      </c>
      <c r="N49" s="202">
        <f t="shared" si="19"/>
        <v>15453174.006999996</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5.7460196306148459E-2</v>
      </c>
      <c r="J50" s="203">
        <f t="shared" si="20"/>
        <v>8.6575450125729869E-2</v>
      </c>
      <c r="K50" s="203">
        <f t="shared" si="20"/>
        <v>9.898514336277961E-2</v>
      </c>
      <c r="L50" s="209" t="str">
        <f t="shared" si="20"/>
        <v>NA</v>
      </c>
      <c r="M50" s="210" t="str">
        <f t="shared" si="20"/>
        <v>NA</v>
      </c>
      <c r="N50" s="203">
        <f t="shared" si="20"/>
        <v>9.898514336277961E-2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0.41260769933702751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3.111244967123679</v>
      </c>
      <c r="F52" s="2"/>
      <c r="G52" s="111" t="s">
        <v>219</v>
      </c>
      <c r="H52" s="111"/>
      <c r="I52" s="213">
        <f t="shared" ref="I52:N52" si="21">IF(ISERROR(I49/I24),0,I49/I24)</f>
        <v>809.5573915783782</v>
      </c>
      <c r="J52" s="213">
        <f t="shared" si="21"/>
        <v>1423.8415673219033</v>
      </c>
      <c r="K52" s="213">
        <f t="shared" si="21"/>
        <v>1830.3019005224951</v>
      </c>
      <c r="L52" s="214">
        <f t="shared" si="21"/>
        <v>0</v>
      </c>
      <c r="M52" s="215">
        <f t="shared" si="21"/>
        <v>0</v>
      </c>
      <c r="N52" s="213">
        <f t="shared" si="21"/>
        <v>1830.3019005224951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2.8310568361112334</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9.5112365878140075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1.2449406306703148</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6.7917902903776364</v>
      </c>
      <c r="F56" s="2"/>
      <c r="G56" s="111" t="s">
        <v>190</v>
      </c>
      <c r="H56" s="111"/>
      <c r="I56" s="182">
        <v>6761933.5389999999</v>
      </c>
      <c r="J56" s="182">
        <v>6915671.3310000002</v>
      </c>
      <c r="K56" s="182">
        <v>8470683.2599999998</v>
      </c>
      <c r="L56" s="252">
        <v>0</v>
      </c>
      <c r="M56" s="253">
        <v>0</v>
      </c>
      <c r="N56" s="195">
        <f>K56+M56-L56</f>
        <v>8470683.2599999998</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5.6845409139358885E-2</v>
      </c>
      <c r="J57" s="255">
        <f t="shared" si="22"/>
        <v>4.9804945780286082E-2</v>
      </c>
      <c r="K57" s="255">
        <f t="shared" si="22"/>
        <v>5.4258872416241832E-2</v>
      </c>
      <c r="L57" s="256" t="str">
        <f t="shared" si="22"/>
        <v>NA</v>
      </c>
      <c r="M57" s="257" t="str">
        <f t="shared" si="22"/>
        <v>NA</v>
      </c>
      <c r="N57" s="255">
        <f t="shared" si="22"/>
        <v>5.4258872416241832E-2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17373946.476</v>
      </c>
      <c r="J58" s="182">
        <v>35495026.796999998</v>
      </c>
      <c r="K58" s="182">
        <v>25748320.477000002</v>
      </c>
      <c r="L58" s="186">
        <v>0</v>
      </c>
      <c r="M58" s="187">
        <v>0</v>
      </c>
      <c r="N58" s="195">
        <f>K58+M58-L58</f>
        <v>25748320.477000002</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0.14605720244029488</v>
      </c>
      <c r="J59" s="255">
        <f t="shared" si="23"/>
        <v>0.2556263593918886</v>
      </c>
      <c r="K59" s="255">
        <f t="shared" si="23"/>
        <v>0.16493059565705567</v>
      </c>
      <c r="L59" s="258" t="str">
        <f t="shared" si="23"/>
        <v>NA</v>
      </c>
      <c r="M59" s="259" t="str">
        <f t="shared" si="23"/>
        <v>NA</v>
      </c>
      <c r="N59" s="255">
        <f t="shared" si="23"/>
        <v>0.16493059565705567</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0.1243093050165518</v>
      </c>
      <c r="D61" s="203">
        <f>IF(ISERROR(K41/J41-1),0,K41/J41-1)</f>
        <v>0.29391333146085818</v>
      </c>
      <c r="E61" s="203">
        <f>IF(ISERROR(K52/J52-1),0,K52/J52-1)</f>
        <v>0.28546738803608673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0.1456081341816502</v>
      </c>
      <c r="D62" s="203">
        <f>IF(ISERROR((K41/I41)^(1/2)-1),0,(K41/I41)^(1/2)-1)</f>
        <v>0.27797377436631465</v>
      </c>
      <c r="E62" s="203">
        <f>IF(ISERROR((K52/I52)^(1/2)-1),0,(K52/I52)^(1/2)-1)</f>
        <v>0.50361809714326888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0.13389377814084602</v>
      </c>
      <c r="D64" s="203">
        <f>IF(ISERROR(D38/K41-1),0,D38/K41-1)</f>
        <v>0.13389377814084602</v>
      </c>
      <c r="E64" s="203">
        <f>IF(ISERROR(D42/K52-1),0,D42/K52-1)</f>
        <v>0.22229694654922505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0.12177861548199465</v>
      </c>
      <c r="D65" s="203">
        <f>IF(ISERROR((E38/K41)^(1/2)-1),0,(E38/K41)^(1/2)-1)</f>
        <v>0.12177861548199465</v>
      </c>
      <c r="E65" s="203">
        <f>IF(ISERROR((E42/K52)^(1/2)-1),0,(E42/K52)^(1/2)-1)</f>
        <v>0.16468728447583358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0.10979289807549381</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602071.799</v>
      </c>
      <c r="T8" s="180">
        <v>427830.96500000003</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2985396.517</v>
      </c>
      <c r="T9" s="182">
        <v>2188354.88</v>
      </c>
      <c r="U9" s="110"/>
      <c r="V9" s="2"/>
      <c r="W9" s="2"/>
      <c r="X9" s="2"/>
      <c r="Y9" s="2"/>
      <c r="Z9" s="2"/>
    </row>
    <row r="10" spans="1:26" ht="15" customHeight="1" x14ac:dyDescent="0.2">
      <c r="A10" s="24"/>
      <c r="B10" s="111" t="s">
        <v>118</v>
      </c>
      <c r="C10" s="111"/>
      <c r="D10" s="121"/>
      <c r="E10" s="150">
        <v>46022</v>
      </c>
      <c r="F10" s="2"/>
      <c r="G10" s="122" t="s">
        <v>34</v>
      </c>
      <c r="H10" s="122"/>
      <c r="I10" s="180">
        <v>31650660.956999999</v>
      </c>
      <c r="J10" s="180">
        <v>39271893.737999998</v>
      </c>
      <c r="K10" s="180">
        <v>36537815.078000002</v>
      </c>
      <c r="L10" s="183">
        <v>0</v>
      </c>
      <c r="M10" s="184">
        <v>0</v>
      </c>
      <c r="N10" s="185">
        <f>K10+M10-L10</f>
        <v>36537815.078000002</v>
      </c>
      <c r="O10" s="2"/>
      <c r="P10" s="111" t="s">
        <v>119</v>
      </c>
      <c r="Q10" s="123"/>
      <c r="R10" s="123"/>
      <c r="S10" s="182">
        <v>9712417.0999999996</v>
      </c>
      <c r="T10" s="182">
        <v>8203702.9390000002</v>
      </c>
      <c r="U10" s="110"/>
      <c r="V10" s="2"/>
      <c r="W10" s="2"/>
      <c r="X10" s="2"/>
      <c r="Y10" s="2"/>
      <c r="Z10" s="2"/>
    </row>
    <row r="11" spans="1:26" ht="15" customHeight="1" x14ac:dyDescent="0.2">
      <c r="A11" s="24"/>
      <c r="B11" s="111" t="s">
        <v>120</v>
      </c>
      <c r="C11" s="111"/>
      <c r="D11" s="117"/>
      <c r="E11" s="149" t="s">
        <v>121</v>
      </c>
      <c r="F11" s="2"/>
      <c r="G11" s="111" t="s">
        <v>122</v>
      </c>
      <c r="H11" s="111"/>
      <c r="I11" s="182">
        <v>28590018.866999999</v>
      </c>
      <c r="J11" s="182">
        <v>35008227.342</v>
      </c>
      <c r="K11" s="182">
        <v>32017774.23</v>
      </c>
      <c r="L11" s="186">
        <v>0</v>
      </c>
      <c r="M11" s="187">
        <v>0</v>
      </c>
      <c r="N11" s="188">
        <f>K11+M11-L11</f>
        <v>32017774.23</v>
      </c>
      <c r="O11" s="189"/>
      <c r="P11" s="111" t="s">
        <v>123</v>
      </c>
      <c r="Q11" s="190"/>
      <c r="R11" s="190"/>
      <c r="S11" s="182">
        <v>874469.10400000028</v>
      </c>
      <c r="T11" s="182">
        <v>895782.92999999877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3060642.09</v>
      </c>
      <c r="J12" s="185">
        <f t="shared" si="0"/>
        <v>4263666.3959999979</v>
      </c>
      <c r="K12" s="185">
        <f t="shared" si="0"/>
        <v>4520040.8480000012</v>
      </c>
      <c r="L12" s="191">
        <f t="shared" si="0"/>
        <v>0</v>
      </c>
      <c r="M12" s="192">
        <f t="shared" si="0"/>
        <v>0</v>
      </c>
      <c r="N12" s="185">
        <f t="shared" si="0"/>
        <v>4520040.8480000012</v>
      </c>
      <c r="O12" s="2"/>
      <c r="P12" s="124" t="s">
        <v>126</v>
      </c>
      <c r="Q12" s="120"/>
      <c r="R12" s="120"/>
      <c r="S12" s="185">
        <f>SUM(S8:S11)</f>
        <v>14174354.52</v>
      </c>
      <c r="T12" s="185">
        <f>SUM(T8:T11)</f>
        <v>11715671.713999998</v>
      </c>
      <c r="U12" s="110"/>
      <c r="V12" s="2"/>
      <c r="W12" s="2"/>
      <c r="X12" s="2"/>
      <c r="Y12" s="2"/>
      <c r="Z12" s="2"/>
    </row>
    <row r="13" spans="1:26" ht="12.75" customHeight="1" x14ac:dyDescent="0.2">
      <c r="A13" s="24"/>
      <c r="B13" s="111" t="s">
        <v>127</v>
      </c>
      <c r="C13" s="111"/>
      <c r="D13" s="193"/>
      <c r="E13" s="194">
        <v>1.1000000000000001</v>
      </c>
      <c r="F13" s="2"/>
      <c r="G13" s="111" t="s">
        <v>128</v>
      </c>
      <c r="H13" s="125"/>
      <c r="I13" s="182">
        <v>2883832.0669999998</v>
      </c>
      <c r="J13" s="182">
        <v>3840270.3539999998</v>
      </c>
      <c r="K13" s="182">
        <v>3774596.176</v>
      </c>
      <c r="L13" s="186">
        <v>0</v>
      </c>
      <c r="M13" s="187">
        <v>0</v>
      </c>
      <c r="N13" s="195">
        <f>K13+M13-L13</f>
        <v>3774596.176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-164702.03999999989</v>
      </c>
      <c r="J14" s="197">
        <v>-260829.63000000009</v>
      </c>
      <c r="K14" s="197">
        <v>-264943.59999999963</v>
      </c>
      <c r="L14" s="198">
        <v>0</v>
      </c>
      <c r="M14" s="199">
        <v>0</v>
      </c>
      <c r="N14" s="200">
        <f>K14+M14-L14</f>
        <v>-264943.59999999963</v>
      </c>
      <c r="O14" s="2"/>
      <c r="P14" s="111" t="s">
        <v>131</v>
      </c>
      <c r="Q14" s="123"/>
      <c r="R14" s="123"/>
      <c r="S14" s="182">
        <v>4110740</v>
      </c>
      <c r="T14" s="182">
        <v>4121684.8130000001</v>
      </c>
      <c r="U14" s="110"/>
      <c r="V14" s="2"/>
      <c r="W14" s="2"/>
      <c r="X14" s="2"/>
      <c r="Y14" s="2"/>
      <c r="Z14" s="2"/>
    </row>
    <row r="15" spans="1:26" ht="12.75" customHeight="1" x14ac:dyDescent="0.2">
      <c r="A15" s="24"/>
      <c r="B15" s="2"/>
      <c r="C15" s="2"/>
      <c r="D15" s="2"/>
      <c r="E15" s="2"/>
      <c r="F15" s="2"/>
      <c r="G15" s="122" t="s">
        <v>132</v>
      </c>
      <c r="H15" s="125"/>
      <c r="I15" s="185">
        <f t="shared" ref="I15:N15" si="1">I12-SUM(I13:I14)</f>
        <v>341512.06300000008</v>
      </c>
      <c r="J15" s="185">
        <f t="shared" si="1"/>
        <v>684225.67199999793</v>
      </c>
      <c r="K15" s="185">
        <f t="shared" si="1"/>
        <v>1010388.2720000008</v>
      </c>
      <c r="L15" s="191">
        <f t="shared" si="1"/>
        <v>0</v>
      </c>
      <c r="M15" s="192">
        <f t="shared" si="1"/>
        <v>0</v>
      </c>
      <c r="N15" s="185">
        <f t="shared" si="1"/>
        <v>1010388.2720000008</v>
      </c>
      <c r="O15" s="2"/>
      <c r="P15" s="111" t="s">
        <v>133</v>
      </c>
      <c r="Q15" s="120"/>
      <c r="R15" s="120"/>
      <c r="S15" s="182">
        <v>196161.56400000001</v>
      </c>
      <c r="T15" s="182">
        <v>220275.353</v>
      </c>
      <c r="U15" s="110"/>
      <c r="V15" s="2"/>
      <c r="W15" s="2"/>
      <c r="X15" s="2"/>
      <c r="Y15" s="2"/>
      <c r="Z15" s="2"/>
    </row>
    <row r="16" spans="1:26" ht="15" customHeight="1" x14ac:dyDescent="0.2">
      <c r="A16" s="24"/>
      <c r="B16" s="271" t="s">
        <v>134</v>
      </c>
      <c r="C16" s="269"/>
      <c r="D16" s="269"/>
      <c r="E16" s="269"/>
      <c r="F16" s="2"/>
      <c r="G16" s="111" t="s">
        <v>135</v>
      </c>
      <c r="H16" s="125"/>
      <c r="I16" s="182">
        <v>195489.503</v>
      </c>
      <c r="J16" s="182">
        <v>133022.41500000001</v>
      </c>
      <c r="K16" s="182">
        <v>185092.84299999999</v>
      </c>
      <c r="L16" s="186">
        <v>0</v>
      </c>
      <c r="M16" s="187">
        <v>0</v>
      </c>
      <c r="N16" s="188">
        <f>K16+M16-L16</f>
        <v>185092.84299999999</v>
      </c>
      <c r="O16" s="2"/>
      <c r="P16" s="111" t="s">
        <v>136</v>
      </c>
      <c r="Q16" s="123"/>
      <c r="R16" s="123"/>
      <c r="S16" s="182">
        <v>1084364.8509999991</v>
      </c>
      <c r="T16" s="182">
        <v>2895410.96</v>
      </c>
      <c r="U16" s="110"/>
      <c r="V16" s="2"/>
      <c r="W16" s="2"/>
      <c r="X16" s="2"/>
      <c r="Y16" s="2"/>
      <c r="Z16" s="2"/>
    </row>
    <row r="17" spans="1:26" ht="15" customHeight="1" x14ac:dyDescent="0.2">
      <c r="A17" s="24"/>
      <c r="B17" s="111" t="s">
        <v>137</v>
      </c>
      <c r="C17" s="111"/>
      <c r="D17" s="126">
        <v>0</v>
      </c>
      <c r="E17" s="201">
        <v>11850</v>
      </c>
      <c r="F17" s="2"/>
      <c r="G17" s="122" t="s">
        <v>138</v>
      </c>
      <c r="H17" s="111"/>
      <c r="I17" s="185">
        <f t="shared" ref="I17:N17" si="2">I15-SUM(I16)</f>
        <v>146022.56000000008</v>
      </c>
      <c r="J17" s="185">
        <f t="shared" si="2"/>
        <v>551203.25699999789</v>
      </c>
      <c r="K17" s="185">
        <f t="shared" si="2"/>
        <v>825295.42900000082</v>
      </c>
      <c r="L17" s="191">
        <f t="shared" si="2"/>
        <v>0</v>
      </c>
      <c r="M17" s="192">
        <f t="shared" si="2"/>
        <v>0</v>
      </c>
      <c r="N17" s="185">
        <f t="shared" si="2"/>
        <v>825295.42900000082</v>
      </c>
      <c r="O17" s="2"/>
      <c r="P17" s="124" t="s">
        <v>139</v>
      </c>
      <c r="Q17" s="120"/>
      <c r="R17" s="120"/>
      <c r="S17" s="202">
        <f>SUM(S12:S16)</f>
        <v>19565620.934999999</v>
      </c>
      <c r="T17" s="202">
        <f>SUM(T12:T16)</f>
        <v>18953042.84</v>
      </c>
      <c r="U17" s="110"/>
      <c r="V17" s="2"/>
      <c r="W17" s="2"/>
      <c r="X17" s="2"/>
      <c r="Y17" s="2"/>
      <c r="Z17" s="2"/>
    </row>
    <row r="18" spans="1:26" ht="12.75" customHeight="1" x14ac:dyDescent="0.2">
      <c r="A18" s="127"/>
      <c r="B18" s="128" t="s">
        <v>140</v>
      </c>
      <c r="C18" s="128"/>
      <c r="D18" s="129"/>
      <c r="E18" s="203">
        <f>+IF(ISERROR(E17/E19),"NA",E17/E19)</f>
        <v>0.72668179309498993</v>
      </c>
      <c r="F18" s="2"/>
      <c r="G18" s="111" t="s">
        <v>141</v>
      </c>
      <c r="H18" s="111"/>
      <c r="I18" s="182">
        <v>115960.216</v>
      </c>
      <c r="J18" s="182">
        <v>36529.281000000003</v>
      </c>
      <c r="K18" s="182">
        <v>90283.356</v>
      </c>
      <c r="L18" s="186">
        <v>0</v>
      </c>
      <c r="M18" s="187">
        <v>0</v>
      </c>
      <c r="N18" s="195">
        <f>K18+M18-L18</f>
        <v>90283.356</v>
      </c>
      <c r="O18" s="2"/>
      <c r="P18" s="111"/>
      <c r="Q18" s="111"/>
      <c r="R18" s="111"/>
      <c r="S18" s="111"/>
      <c r="T18" s="111"/>
      <c r="U18" s="110"/>
      <c r="V18" s="2"/>
      <c r="W18" s="2"/>
      <c r="X18" s="2"/>
      <c r="Y18" s="2"/>
      <c r="Z18" s="2"/>
    </row>
    <row r="19" spans="1:26" ht="15" customHeight="1" x14ac:dyDescent="0.2">
      <c r="A19" s="24"/>
      <c r="B19" s="111" t="s">
        <v>142</v>
      </c>
      <c r="C19" s="111"/>
      <c r="D19" s="204">
        <v>0</v>
      </c>
      <c r="E19" s="205">
        <v>16307</v>
      </c>
      <c r="F19" s="2"/>
      <c r="G19" s="111" t="s">
        <v>143</v>
      </c>
      <c r="H19" s="111"/>
      <c r="I19" s="197">
        <v>54.107999999999997</v>
      </c>
      <c r="J19" s="197">
        <v>39.167999999999999</v>
      </c>
      <c r="K19" s="197">
        <v>-6.702</v>
      </c>
      <c r="L19" s="198">
        <v>0</v>
      </c>
      <c r="M19" s="199">
        <v>0</v>
      </c>
      <c r="N19" s="206">
        <f>K19+M19-L19</f>
        <v>-6.702</v>
      </c>
      <c r="O19" s="2"/>
      <c r="P19" s="111" t="s">
        <v>144</v>
      </c>
      <c r="Q19" s="123"/>
      <c r="R19" s="123"/>
      <c r="S19" s="182">
        <v>2328013.4449999998</v>
      </c>
      <c r="T19" s="182">
        <v>2049570.3810000001</v>
      </c>
      <c r="U19" s="110"/>
      <c r="V19" s="2"/>
      <c r="W19" s="2"/>
      <c r="X19" s="2"/>
      <c r="Y19" s="2"/>
      <c r="Z19" s="2"/>
    </row>
    <row r="20" spans="1:26" ht="15" customHeight="1" x14ac:dyDescent="0.2">
      <c r="A20" s="24"/>
      <c r="B20" s="111" t="s">
        <v>145</v>
      </c>
      <c r="C20" s="111"/>
      <c r="D20" s="204">
        <v>0</v>
      </c>
      <c r="E20" s="205">
        <v>10500</v>
      </c>
      <c r="F20" s="2"/>
      <c r="G20" s="111" t="s">
        <v>146</v>
      </c>
      <c r="H20" s="111"/>
      <c r="I20" s="197">
        <v>0</v>
      </c>
      <c r="J20" s="197">
        <v>0</v>
      </c>
      <c r="K20" s="197">
        <v>0</v>
      </c>
      <c r="L20" s="198">
        <v>0</v>
      </c>
      <c r="M20" s="199">
        <v>0</v>
      </c>
      <c r="N20" s="200">
        <f>K20+M20-L20</f>
        <v>0</v>
      </c>
      <c r="O20" s="2"/>
      <c r="P20" s="111" t="s">
        <v>147</v>
      </c>
      <c r="Q20" s="190"/>
      <c r="R20" s="190"/>
      <c r="S20" s="182">
        <v>200877.91099999999</v>
      </c>
      <c r="T20" s="182">
        <v>222585.755</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30008.236000000092</v>
      </c>
      <c r="J21" s="202">
        <f t="shared" si="3"/>
        <v>514634.80799999787</v>
      </c>
      <c r="K21" s="202">
        <f t="shared" si="3"/>
        <v>735018.77500000084</v>
      </c>
      <c r="L21" s="207">
        <f t="shared" si="3"/>
        <v>0</v>
      </c>
      <c r="M21" s="208">
        <f t="shared" si="3"/>
        <v>0</v>
      </c>
      <c r="N21" s="202">
        <f t="shared" si="3"/>
        <v>735018.77500000084</v>
      </c>
      <c r="O21" s="2"/>
      <c r="P21" s="111" t="s">
        <v>150</v>
      </c>
      <c r="Q21" s="120"/>
      <c r="R21" s="120"/>
      <c r="S21" s="182">
        <v>6103522.6109999996</v>
      </c>
      <c r="T21" s="182">
        <v>5326110.0999999996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0.79412534611090191</v>
      </c>
      <c r="J22" s="203">
        <f t="shared" si="4"/>
        <v>6.627188888326932E-2</v>
      </c>
      <c r="K22" s="203">
        <f t="shared" si="4"/>
        <v>0.1093951969531627</v>
      </c>
      <c r="L22" s="209" t="str">
        <f t="shared" si="4"/>
        <v>NA</v>
      </c>
      <c r="M22" s="210" t="str">
        <f t="shared" si="4"/>
        <v>NA</v>
      </c>
      <c r="N22" s="203">
        <f t="shared" si="4"/>
        <v>0.1093951969531627</v>
      </c>
      <c r="O22" s="2"/>
      <c r="P22" s="124" t="s">
        <v>152</v>
      </c>
      <c r="Q22" s="123"/>
      <c r="R22" s="123"/>
      <c r="S22" s="185">
        <f>SUM(S19:S21)</f>
        <v>8632413.9670000002</v>
      </c>
      <c r="T22" s="185">
        <f>SUM(T19:T21)</f>
        <v>7598266.2359999996</v>
      </c>
      <c r="U22" s="110"/>
      <c r="V22" s="2"/>
      <c r="W22" s="2"/>
      <c r="X22" s="2"/>
      <c r="Y22" s="2"/>
      <c r="Z22" s="2"/>
    </row>
    <row r="23" spans="1:26" ht="15" customHeight="1" x14ac:dyDescent="0.2">
      <c r="A23" s="24"/>
      <c r="B23" s="111" t="s">
        <v>153</v>
      </c>
      <c r="C23" s="111"/>
      <c r="D23" s="111"/>
      <c r="E23" s="211">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9566063.0424000006</v>
      </c>
      <c r="F24" s="2"/>
      <c r="G24" s="111" t="s">
        <v>155</v>
      </c>
      <c r="H24" s="111"/>
      <c r="I24" s="182">
        <v>807.26270399999999</v>
      </c>
      <c r="J24" s="182">
        <v>807.26270399999999</v>
      </c>
      <c r="K24" s="182">
        <v>807.26270399999999</v>
      </c>
      <c r="L24" s="186">
        <v>0</v>
      </c>
      <c r="M24" s="187">
        <v>0</v>
      </c>
      <c r="N24" s="195">
        <f>+IF(ISERROR(K24+M24-L24),"NA",K24+M24-L24)</f>
        <v>807.26270399999999</v>
      </c>
      <c r="O24" s="2"/>
      <c r="P24" s="133" t="s">
        <v>156</v>
      </c>
      <c r="Q24" s="120"/>
      <c r="R24" s="120"/>
      <c r="S24" s="182">
        <v>5364084.4529999997</v>
      </c>
      <c r="T24" s="182">
        <v>4403865.7220000001</v>
      </c>
      <c r="U24" s="110"/>
      <c r="V24" s="2"/>
      <c r="W24" s="2"/>
      <c r="X24" s="2"/>
      <c r="Y24" s="2"/>
      <c r="Z24" s="2"/>
    </row>
    <row r="25" spans="1:26" ht="15" customHeight="1" x14ac:dyDescent="0.2">
      <c r="A25" s="24"/>
      <c r="B25" s="111"/>
      <c r="C25" s="111"/>
      <c r="D25" s="111"/>
      <c r="E25" s="111"/>
      <c r="F25" s="2"/>
      <c r="G25" s="111" t="s">
        <v>157</v>
      </c>
      <c r="H25" s="111"/>
      <c r="I25" s="213">
        <f>IF(ISERROR(I21/I24),"NA",I21/I24)</f>
        <v>37.172825960259019</v>
      </c>
      <c r="J25" s="213">
        <f>+IF(ISERROR(J21/J24),"NA",J21/J24)</f>
        <v>637.50598838516123</v>
      </c>
      <c r="K25" s="213">
        <f>+IF(ISERROR(K21/K24),"NA",K21/K24)</f>
        <v>910.5075353512193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4403865.7220000001</v>
      </c>
      <c r="F26" s="2"/>
      <c r="G26" s="2"/>
      <c r="H26" s="2"/>
      <c r="I26" s="2"/>
      <c r="J26" s="2"/>
      <c r="K26" s="2"/>
      <c r="L26" s="2"/>
      <c r="M26" s="2"/>
      <c r="N26" s="2"/>
      <c r="O26" s="2"/>
      <c r="P26" s="124" t="s">
        <v>160</v>
      </c>
      <c r="Q26" s="111"/>
      <c r="R26" s="111"/>
      <c r="S26" s="185">
        <f>S22+SUM(S24:S25)</f>
        <v>13996498.42</v>
      </c>
      <c r="T26" s="185">
        <f>T22+SUM(T24:T25)</f>
        <v>12002131.958000001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-6.702</v>
      </c>
      <c r="F28" s="2"/>
      <c r="G28" s="271" t="s">
        <v>163</v>
      </c>
      <c r="H28" s="269"/>
      <c r="I28" s="269"/>
      <c r="J28" s="269"/>
      <c r="K28" s="269"/>
      <c r="L28" s="269"/>
      <c r="M28" s="269"/>
      <c r="N28" s="269"/>
      <c r="O28" s="2"/>
      <c r="P28" s="111" t="s">
        <v>143</v>
      </c>
      <c r="Q28" s="136"/>
      <c r="R28" s="136"/>
      <c r="S28" s="182">
        <v>39.167999999999999</v>
      </c>
      <c r="T28" s="182">
        <v>-6.702</v>
      </c>
      <c r="U28" s="110"/>
      <c r="V28" s="2"/>
      <c r="W28" s="2"/>
      <c r="X28" s="2"/>
      <c r="Y28" s="2"/>
      <c r="Z28" s="2"/>
    </row>
    <row r="29" spans="1:26" ht="15" customHeight="1" x14ac:dyDescent="0.2">
      <c r="A29" s="24"/>
      <c r="B29" s="111" t="s">
        <v>164</v>
      </c>
      <c r="C29" s="111"/>
      <c r="D29" s="111"/>
      <c r="E29" s="217">
        <f>-T8</f>
        <v>-427830.96500000003</v>
      </c>
      <c r="F29" s="2"/>
      <c r="G29" s="111" t="s">
        <v>165</v>
      </c>
      <c r="H29" s="111"/>
      <c r="I29" s="218">
        <f t="shared" ref="I29:N29" si="5">I12</f>
        <v>3060642.09</v>
      </c>
      <c r="J29" s="218">
        <f t="shared" si="5"/>
        <v>4263666.3959999979</v>
      </c>
      <c r="K29" s="218">
        <f t="shared" si="5"/>
        <v>4520040.8480000012</v>
      </c>
      <c r="L29" s="219">
        <f t="shared" si="5"/>
        <v>0</v>
      </c>
      <c r="M29" s="220">
        <f t="shared" si="5"/>
        <v>0</v>
      </c>
      <c r="N29" s="218">
        <f t="shared" si="5"/>
        <v>4520040.8480000012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13542091.097400002</v>
      </c>
      <c r="F30" s="221"/>
      <c r="G30" s="111" t="s">
        <v>168</v>
      </c>
      <c r="H30" s="111"/>
      <c r="I30" s="223">
        <v>0</v>
      </c>
      <c r="J30" s="223">
        <v>0</v>
      </c>
      <c r="K30" s="223">
        <v>0</v>
      </c>
      <c r="L30" s="186">
        <v>0</v>
      </c>
      <c r="M30" s="187">
        <v>0</v>
      </c>
      <c r="N30" s="188">
        <f>K30+M30-L30</f>
        <v>0</v>
      </c>
      <c r="O30" s="2"/>
      <c r="P30" s="133" t="s">
        <v>169</v>
      </c>
      <c r="Q30" s="224"/>
      <c r="R30" s="224"/>
      <c r="S30" s="182">
        <v>10916937.056</v>
      </c>
      <c r="T30" s="182">
        <v>11338627.789000001</v>
      </c>
      <c r="U30" s="2"/>
      <c r="V30" s="2"/>
      <c r="W30" s="2"/>
      <c r="X30" s="2"/>
      <c r="Y30" s="2"/>
      <c r="Z30" s="2"/>
    </row>
    <row r="31" spans="1:26" ht="15" customHeight="1" x14ac:dyDescent="0.2">
      <c r="A31" s="24"/>
      <c r="B31" s="2"/>
      <c r="C31" s="2"/>
      <c r="D31" s="2"/>
      <c r="E31" s="2"/>
      <c r="F31" s="221"/>
      <c r="G31" s="122" t="s">
        <v>170</v>
      </c>
      <c r="H31" s="111"/>
      <c r="I31" s="185">
        <f t="shared" ref="I31:N31" si="6">SUM(I29:I30)</f>
        <v>3060642.09</v>
      </c>
      <c r="J31" s="185">
        <f t="shared" si="6"/>
        <v>4263666.3959999979</v>
      </c>
      <c r="K31" s="185">
        <f t="shared" si="6"/>
        <v>4520040.8480000012</v>
      </c>
      <c r="L31" s="191">
        <f t="shared" si="6"/>
        <v>0</v>
      </c>
      <c r="M31" s="192">
        <f t="shared" si="6"/>
        <v>0</v>
      </c>
      <c r="N31" s="185">
        <f t="shared" si="6"/>
        <v>4520040.8480000012</v>
      </c>
      <c r="O31" s="2"/>
      <c r="P31" s="124" t="s">
        <v>171</v>
      </c>
      <c r="Q31" s="224"/>
      <c r="R31" s="224"/>
      <c r="S31" s="202">
        <f>S26+SUM(S28:S30)</f>
        <v>24913474.644000001</v>
      </c>
      <c r="T31" s="202">
        <f>T26+SUM(T28:T30)</f>
        <v>23340753.045000002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9.6700732226670763E-2</v>
      </c>
      <c r="J32" s="203">
        <f t="shared" si="7"/>
        <v>0.10856788380119338</v>
      </c>
      <c r="K32" s="203">
        <f t="shared" si="7"/>
        <v>0.12370856982966093</v>
      </c>
      <c r="L32" s="209" t="str">
        <f t="shared" si="7"/>
        <v>NA</v>
      </c>
      <c r="M32" s="210" t="str">
        <f t="shared" si="7"/>
        <v>NA</v>
      </c>
      <c r="N32" s="203">
        <f t="shared" si="7"/>
        <v>0.12370856982966093</v>
      </c>
      <c r="O32" s="2"/>
      <c r="P32" s="128" t="s">
        <v>174</v>
      </c>
      <c r="Q32" s="137"/>
      <c r="R32" s="137"/>
      <c r="S32" s="225">
        <f>S17-S31</f>
        <v>-5347853.7090000026</v>
      </c>
      <c r="T32" s="225">
        <f>T17-T31</f>
        <v>-4387710.2050000019</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341512.06300000008</v>
      </c>
      <c r="J34" s="218">
        <f t="shared" si="8"/>
        <v>684225.67199999793</v>
      </c>
      <c r="K34" s="218">
        <f t="shared" si="8"/>
        <v>1010388.2720000008</v>
      </c>
      <c r="L34" s="227">
        <f t="shared" si="8"/>
        <v>0</v>
      </c>
      <c r="M34" s="228">
        <f t="shared" si="8"/>
        <v>0</v>
      </c>
      <c r="N34" s="218">
        <f t="shared" si="8"/>
        <v>1010388.2720000008</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0.3706322085349299</v>
      </c>
      <c r="D35" s="229">
        <f>IF(ISERROR($E$30/D36),"NA",$E$30/D36)</f>
        <v>0.37241799100826256</v>
      </c>
      <c r="E35" s="229">
        <f>IF(ISERROR($E$30/E36),"NA",$E$30/E36)</f>
        <v>0.37388811313325115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807.26270399999999</v>
      </c>
      <c r="U35" s="110"/>
      <c r="V35" s="2"/>
      <c r="W35" s="2"/>
      <c r="X35" s="2"/>
      <c r="Y35" s="2"/>
      <c r="Z35" s="2"/>
    </row>
    <row r="36" spans="1:26" ht="15" customHeight="1" x14ac:dyDescent="0.2">
      <c r="A36" s="24"/>
      <c r="B36" s="111" t="s">
        <v>181</v>
      </c>
      <c r="C36" s="218">
        <f>N10</f>
        <v>36537815.078000002</v>
      </c>
      <c r="D36" s="180">
        <v>36362612.506278068</v>
      </c>
      <c r="E36" s="180">
        <v>36219635.291196577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7.0773205148141454</v>
      </c>
      <c r="D37" s="229">
        <f>IF(ISERROR($E$30/D38),"NA",$E$30/D38)</f>
        <v>7.1114205019847203</v>
      </c>
      <c r="E37" s="229">
        <f>IF(ISERROR($E$30/E38),"NA",$E$30/E38)</f>
        <v>7.1394928746210713</v>
      </c>
      <c r="F37" s="2"/>
      <c r="G37" s="122" t="s">
        <v>185</v>
      </c>
      <c r="H37" s="111"/>
      <c r="I37" s="185">
        <f t="shared" ref="I37:N37" si="10">SUM(I34:I36)</f>
        <v>341512.06300000008</v>
      </c>
      <c r="J37" s="185">
        <f t="shared" si="10"/>
        <v>684225.67199999793</v>
      </c>
      <c r="K37" s="185">
        <f t="shared" si="10"/>
        <v>1010388.2720000008</v>
      </c>
      <c r="L37" s="191">
        <f t="shared" si="10"/>
        <v>0</v>
      </c>
      <c r="M37" s="192">
        <f t="shared" si="10"/>
        <v>0</v>
      </c>
      <c r="N37" s="185">
        <f t="shared" si="10"/>
        <v>1010388.2720000008</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1913448.8920000009</v>
      </c>
      <c r="D38" s="180">
        <v>1904273.7092568991</v>
      </c>
      <c r="E38" s="180">
        <v>1896786.135264369</v>
      </c>
      <c r="F38" s="2"/>
      <c r="G38" s="128" t="s">
        <v>173</v>
      </c>
      <c r="H38" s="128"/>
      <c r="I38" s="203">
        <f t="shared" ref="I38:N38" si="11">IF(ISERROR(I37/I10),"NA",I37/I10)</f>
        <v>1.0790045220982021E-2</v>
      </c>
      <c r="J38" s="203">
        <f t="shared" si="11"/>
        <v>1.7422782730182735E-2</v>
      </c>
      <c r="K38" s="203">
        <f t="shared" si="11"/>
        <v>2.765322091217139E-2</v>
      </c>
      <c r="L38" s="209" t="str">
        <f t="shared" si="11"/>
        <v>NA</v>
      </c>
      <c r="M38" s="210" t="str">
        <f t="shared" si="11"/>
        <v>NA</v>
      </c>
      <c r="N38" s="203">
        <f t="shared" si="11"/>
        <v>2.765322091217139E-2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13.402858557130987</v>
      </c>
      <c r="D39" s="229">
        <f>IF(ISERROR($E$30/D40),"NA",$E$30/D40)</f>
        <v>13.46743628246778</v>
      </c>
      <c r="E39" s="229">
        <f>IF(ISERROR($E$30/E40),"NA",$E$30/E40)</f>
        <v>13.520599063331643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1010388.2720000008</v>
      </c>
      <c r="D40" s="180">
        <v>1005543.3575749981</v>
      </c>
      <c r="E40" s="180">
        <v>1001589.577057029</v>
      </c>
      <c r="F40" s="237"/>
      <c r="G40" s="111" t="s">
        <v>190</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191</v>
      </c>
      <c r="Q40" s="111"/>
      <c r="R40" s="111"/>
      <c r="S40" s="111"/>
      <c r="T40" s="238">
        <f>T35+SUM(T38:T39)</f>
        <v>807.26270399999999</v>
      </c>
      <c r="U40" s="110"/>
      <c r="V40" s="2"/>
      <c r="W40" s="2"/>
      <c r="X40" s="2"/>
      <c r="Y40" s="2"/>
      <c r="Z40" s="2"/>
    </row>
    <row r="41" spans="1:26" ht="12.75" customHeight="1" x14ac:dyDescent="0.2">
      <c r="A41" s="24"/>
      <c r="B41" s="111" t="s">
        <v>192</v>
      </c>
      <c r="C41" s="229">
        <f>IF(ISERROR($E$17/N52),"NA",E17/N52)</f>
        <v>13.014719307544203</v>
      </c>
      <c r="D41" s="229">
        <f>IF(ISERROR($E$17/D42),"NA",$E$17/D42)</f>
        <v>10.472379723528688</v>
      </c>
      <c r="E41" s="229">
        <f>IF(ISERROR($E$17/E42),"NA",$E$17/E42)</f>
        <v>10.513719501693426</v>
      </c>
      <c r="F41" s="2"/>
      <c r="G41" s="122" t="s">
        <v>193</v>
      </c>
      <c r="H41" s="111"/>
      <c r="I41" s="185">
        <f t="shared" ref="I41:N41" si="13">I40+I37</f>
        <v>1472213.014</v>
      </c>
      <c r="J41" s="185">
        <f t="shared" si="13"/>
        <v>1673978.5309999981</v>
      </c>
      <c r="K41" s="185">
        <f t="shared" si="13"/>
        <v>1913448.8920000009</v>
      </c>
      <c r="L41" s="191">
        <f t="shared" si="13"/>
        <v>0</v>
      </c>
      <c r="M41" s="192">
        <f t="shared" si="13"/>
        <v>0</v>
      </c>
      <c r="N41" s="185">
        <f t="shared" si="13"/>
        <v>1913448.8920000009</v>
      </c>
      <c r="O41" s="2"/>
      <c r="P41" s="111"/>
      <c r="Q41" s="111"/>
      <c r="R41" s="111"/>
      <c r="S41" s="111"/>
      <c r="T41" s="111"/>
      <c r="U41" s="110"/>
      <c r="V41" s="2"/>
      <c r="W41" s="2"/>
      <c r="X41" s="2"/>
      <c r="Y41" s="2"/>
      <c r="Z41" s="2"/>
    </row>
    <row r="42" spans="1:26" ht="15" customHeight="1" x14ac:dyDescent="0.2">
      <c r="A42" s="24"/>
      <c r="B42" s="111" t="s">
        <v>181</v>
      </c>
      <c r="C42" s="213">
        <f>N52</f>
        <v>910.5075353512193</v>
      </c>
      <c r="D42" s="201">
        <v>1131.5479683549061</v>
      </c>
      <c r="E42" s="201">
        <v>1127.098739707802</v>
      </c>
      <c r="F42" s="2"/>
      <c r="G42" s="128" t="s">
        <v>173</v>
      </c>
      <c r="H42" s="128"/>
      <c r="I42" s="203">
        <f t="shared" ref="I42:N42" si="14">IF(ISERROR(I41/I10),"NA",I41/I10)</f>
        <v>4.6514447707746806E-2</v>
      </c>
      <c r="J42" s="203">
        <f t="shared" si="14"/>
        <v>4.2625358027495237E-2</v>
      </c>
      <c r="K42" s="203">
        <f t="shared" si="14"/>
        <v>5.2369001482853277E-2</v>
      </c>
      <c r="L42" s="209" t="str">
        <f t="shared" si="14"/>
        <v>NA</v>
      </c>
      <c r="M42" s="210" t="str">
        <f t="shared" si="14"/>
        <v>NA</v>
      </c>
      <c r="N42" s="203">
        <f t="shared" si="14"/>
        <v>5.2369001482853277E-2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30008.236000000092</v>
      </c>
      <c r="J44" s="218">
        <f t="shared" si="15"/>
        <v>514634.80799999787</v>
      </c>
      <c r="K44" s="218">
        <f t="shared" si="15"/>
        <v>735018.77500000084</v>
      </c>
      <c r="L44" s="227">
        <f t="shared" si="15"/>
        <v>0</v>
      </c>
      <c r="M44" s="228">
        <f t="shared" si="15"/>
        <v>0</v>
      </c>
      <c r="N44" s="218">
        <f t="shared" si="15"/>
        <v>735018.77500000084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6.5199774950685296E-2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6.6052583263473755E-2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3.8164292473564697E-2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0.16877637130801687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30008.236000000092</v>
      </c>
      <c r="J49" s="202">
        <f t="shared" si="19"/>
        <v>514634.80799999787</v>
      </c>
      <c r="K49" s="202">
        <f t="shared" si="19"/>
        <v>735018.77500000084</v>
      </c>
      <c r="L49" s="207">
        <f t="shared" si="19"/>
        <v>0</v>
      </c>
      <c r="M49" s="208">
        <f t="shared" si="19"/>
        <v>0</v>
      </c>
      <c r="N49" s="202">
        <f t="shared" si="19"/>
        <v>735018.77500000084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9.4810772011266135E-4</v>
      </c>
      <c r="J50" s="203">
        <f t="shared" si="20"/>
        <v>1.3104405186909297E-2</v>
      </c>
      <c r="K50" s="203">
        <f t="shared" si="20"/>
        <v>2.0116659231836972E-2</v>
      </c>
      <c r="L50" s="209" t="str">
        <f t="shared" si="20"/>
        <v>NA</v>
      </c>
      <c r="M50" s="210" t="str">
        <f t="shared" si="20"/>
        <v>NA</v>
      </c>
      <c r="N50" s="203">
        <f t="shared" si="20"/>
        <v>2.0116659231836972E-2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2.3015329755669263</v>
      </c>
      <c r="F52" s="2"/>
      <c r="G52" s="111" t="s">
        <v>219</v>
      </c>
      <c r="H52" s="111"/>
      <c r="I52" s="213">
        <f t="shared" ref="I52:N52" si="21">IF(ISERROR(I49/I24),0,I49/I24)</f>
        <v>37.172825960259019</v>
      </c>
      <c r="J52" s="213">
        <f t="shared" si="21"/>
        <v>637.50598838516123</v>
      </c>
      <c r="K52" s="213">
        <f t="shared" si="21"/>
        <v>910.5075353512193</v>
      </c>
      <c r="L52" s="214">
        <f t="shared" si="21"/>
        <v>0</v>
      </c>
      <c r="M52" s="215">
        <f t="shared" si="21"/>
        <v>0</v>
      </c>
      <c r="N52" s="213">
        <f t="shared" si="21"/>
        <v>910.5075353512193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2.0779414457441376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10.3377789275191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-3.8321648071503187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5.4588186967337293</v>
      </c>
      <c r="F56" s="2"/>
      <c r="G56" s="111" t="s">
        <v>190</v>
      </c>
      <c r="H56" s="111"/>
      <c r="I56" s="182">
        <v>1130700.9509999999</v>
      </c>
      <c r="J56" s="182">
        <v>989752.85900000005</v>
      </c>
      <c r="K56" s="182">
        <v>903060.62</v>
      </c>
      <c r="L56" s="252">
        <v>0</v>
      </c>
      <c r="M56" s="253">
        <v>0</v>
      </c>
      <c r="N56" s="195">
        <f>K56+M56-L56</f>
        <v>903060.62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3.5724402486764784E-2</v>
      </c>
      <c r="J57" s="255">
        <f t="shared" si="22"/>
        <v>2.5202575297312495E-2</v>
      </c>
      <c r="K57" s="255">
        <f t="shared" si="22"/>
        <v>2.4715780570681883E-2</v>
      </c>
      <c r="L57" s="256" t="str">
        <f t="shared" si="22"/>
        <v>NA</v>
      </c>
      <c r="M57" s="257" t="str">
        <f t="shared" si="22"/>
        <v>NA</v>
      </c>
      <c r="N57" s="255">
        <f t="shared" si="22"/>
        <v>2.4715780570681883E-2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373766.50599999999</v>
      </c>
      <c r="J58" s="182">
        <v>770512.87800000003</v>
      </c>
      <c r="K58" s="182">
        <v>2622755.1710000001</v>
      </c>
      <c r="L58" s="186">
        <v>0</v>
      </c>
      <c r="M58" s="187">
        <v>0</v>
      </c>
      <c r="N58" s="195">
        <f>K58+M58-L58</f>
        <v>2622755.1710000001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1.1809121664403541E-2</v>
      </c>
      <c r="J59" s="255">
        <f t="shared" si="23"/>
        <v>1.9619957294151103E-2</v>
      </c>
      <c r="K59" s="255">
        <f t="shared" si="23"/>
        <v>7.1781937847159416E-2</v>
      </c>
      <c r="L59" s="258" t="str">
        <f t="shared" si="23"/>
        <v>NA</v>
      </c>
      <c r="M59" s="259" t="str">
        <f t="shared" si="23"/>
        <v>NA</v>
      </c>
      <c r="N59" s="255">
        <f t="shared" si="23"/>
        <v>7.1781937847159416E-2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-6.9619221274131338E-2</v>
      </c>
      <c r="D61" s="203">
        <f>IF(ISERROR(K41/J41-1),0,K41/J41-1)</f>
        <v>0.14305461902008298</v>
      </c>
      <c r="E61" s="203">
        <f>IF(ISERROR(K52/J52-1),0,K52/J52-1)</f>
        <v>0.42823369809840761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7.4434375801200936E-2</v>
      </c>
      <c r="D62" s="203">
        <f>IF(ISERROR((K41/I41)^(1/2)-1),0,(K41/I41)^(1/2)-1)</f>
        <v>0.14004792153847156</v>
      </c>
      <c r="E62" s="203">
        <f>IF(ISERROR((K52/I52)^(1/2)-1),0,(K52/I52)^(1/2)-1)</f>
        <v>3.9491313824674705</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-4.7951025902319699E-3</v>
      </c>
      <c r="D64" s="203">
        <f>IF(ISERROR(D38/K41-1),0,D38/K41-1)</f>
        <v>-4.7951020701220148E-3</v>
      </c>
      <c r="E64" s="203">
        <f>IF(ISERROR(D42/K52-1),0,D42/K52-1)</f>
        <v>0.24276617646928389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-4.3636368869226505E-3</v>
      </c>
      <c r="D65" s="203">
        <f>IF(ISERROR((E38/K41)^(1/2)-1),0,(E38/K41)^(1/2)-1)</f>
        <v>-4.3636366267549853E-3</v>
      </c>
      <c r="E65" s="203">
        <f>IF(ISERROR((E42/K52)^(1/2)-1),0,(E42/K52)^(1/2)-1)</f>
        <v>0.11260039528735355</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391783.761</v>
      </c>
      <c r="T8" s="180">
        <v>838864.11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1942938.034</v>
      </c>
      <c r="T9" s="182">
        <v>1423363.7120000001</v>
      </c>
      <c r="U9" s="110"/>
      <c r="V9" s="2"/>
      <c r="W9" s="2"/>
      <c r="X9" s="2"/>
      <c r="Y9" s="2"/>
      <c r="Z9" s="2"/>
    </row>
    <row r="10" spans="1:26" ht="15" customHeight="1" x14ac:dyDescent="0.2">
      <c r="A10" s="24"/>
      <c r="B10" s="111" t="s">
        <v>118</v>
      </c>
      <c r="C10" s="111"/>
      <c r="D10" s="121"/>
      <c r="E10" s="150">
        <v>46022</v>
      </c>
      <c r="F10" s="2"/>
      <c r="G10" s="122" t="s">
        <v>34</v>
      </c>
      <c r="H10" s="122"/>
      <c r="I10" s="180">
        <v>18595974.252999999</v>
      </c>
      <c r="J10" s="180">
        <v>20609022.190000001</v>
      </c>
      <c r="K10" s="180">
        <v>14808145.017000001</v>
      </c>
      <c r="L10" s="183">
        <v>0</v>
      </c>
      <c r="M10" s="184">
        <v>0</v>
      </c>
      <c r="N10" s="185">
        <f>K10+M10-L10</f>
        <v>14808145.017000001</v>
      </c>
      <c r="O10" s="2"/>
      <c r="P10" s="111" t="s">
        <v>119</v>
      </c>
      <c r="Q10" s="123"/>
      <c r="R10" s="123"/>
      <c r="S10" s="182">
        <v>6690482.9349999996</v>
      </c>
      <c r="T10" s="182">
        <v>5303103.3969999999</v>
      </c>
      <c r="U10" s="110"/>
      <c r="V10" s="2"/>
      <c r="W10" s="2"/>
      <c r="X10" s="2"/>
      <c r="Y10" s="2"/>
      <c r="Z10" s="2"/>
    </row>
    <row r="11" spans="1:26" ht="15" customHeight="1" x14ac:dyDescent="0.2">
      <c r="A11" s="24"/>
      <c r="B11" s="111" t="s">
        <v>120</v>
      </c>
      <c r="C11" s="111"/>
      <c r="D11" s="117"/>
      <c r="E11" s="149" t="s">
        <v>121</v>
      </c>
      <c r="F11" s="2"/>
      <c r="G11" s="111" t="s">
        <v>122</v>
      </c>
      <c r="H11" s="111"/>
      <c r="I11" s="182">
        <v>17483711.237</v>
      </c>
      <c r="J11" s="182">
        <v>18777248.234999999</v>
      </c>
      <c r="K11" s="182">
        <v>14022971.43</v>
      </c>
      <c r="L11" s="186">
        <v>0</v>
      </c>
      <c r="M11" s="187">
        <v>0</v>
      </c>
      <c r="N11" s="188">
        <f>K11+M11-L11</f>
        <v>14022971.43</v>
      </c>
      <c r="O11" s="189"/>
      <c r="P11" s="111" t="s">
        <v>123</v>
      </c>
      <c r="Q11" s="190"/>
      <c r="R11" s="190"/>
      <c r="S11" s="182">
        <v>1177165.7710000011</v>
      </c>
      <c r="T11" s="182">
        <v>2137469.0670000012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1112263.0159999989</v>
      </c>
      <c r="J12" s="185">
        <f t="shared" si="0"/>
        <v>1831773.9550000019</v>
      </c>
      <c r="K12" s="185">
        <f t="shared" si="0"/>
        <v>785173.58700000122</v>
      </c>
      <c r="L12" s="191">
        <f t="shared" si="0"/>
        <v>0</v>
      </c>
      <c r="M12" s="192">
        <f t="shared" si="0"/>
        <v>0</v>
      </c>
      <c r="N12" s="185">
        <f t="shared" si="0"/>
        <v>785173.58700000122</v>
      </c>
      <c r="O12" s="2"/>
      <c r="P12" s="124" t="s">
        <v>126</v>
      </c>
      <c r="Q12" s="120"/>
      <c r="R12" s="120"/>
      <c r="S12" s="185">
        <f>SUM(S8:S11)</f>
        <v>10202370.501000002</v>
      </c>
      <c r="T12" s="185">
        <f>SUM(T8:T11)</f>
        <v>9702800.2860000022</v>
      </c>
      <c r="U12" s="110"/>
      <c r="V12" s="2"/>
      <c r="W12" s="2"/>
      <c r="X12" s="2"/>
      <c r="Y12" s="2"/>
      <c r="Z12" s="2"/>
    </row>
    <row r="13" spans="1:26" ht="12.75" customHeight="1" x14ac:dyDescent="0.2">
      <c r="A13" s="24"/>
      <c r="B13" s="111" t="s">
        <v>127</v>
      </c>
      <c r="C13" s="111"/>
      <c r="D13" s="193"/>
      <c r="E13" s="194">
        <v>1.1000000000000001</v>
      </c>
      <c r="F13" s="2"/>
      <c r="G13" s="111" t="s">
        <v>128</v>
      </c>
      <c r="H13" s="125"/>
      <c r="I13" s="182">
        <v>739414.14899999998</v>
      </c>
      <c r="J13" s="182">
        <v>1137840.115</v>
      </c>
      <c r="K13" s="182">
        <v>554823.96</v>
      </c>
      <c r="L13" s="186">
        <v>0</v>
      </c>
      <c r="M13" s="187">
        <v>0</v>
      </c>
      <c r="N13" s="195">
        <f>K13+M13-L13</f>
        <v>554823.96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-97141.880999999878</v>
      </c>
      <c r="J14" s="197">
        <v>-72077.404999999912</v>
      </c>
      <c r="K14" s="197">
        <v>-230135.21199999991</v>
      </c>
      <c r="L14" s="198">
        <v>0</v>
      </c>
      <c r="M14" s="199">
        <v>0</v>
      </c>
      <c r="N14" s="200">
        <f>K14+M14-L14</f>
        <v>-230135.21199999991</v>
      </c>
      <c r="O14" s="2"/>
      <c r="P14" s="111" t="s">
        <v>131</v>
      </c>
      <c r="Q14" s="123"/>
      <c r="R14" s="123"/>
      <c r="S14" s="182">
        <v>2021344.676</v>
      </c>
      <c r="T14" s="182">
        <v>1804722.959</v>
      </c>
      <c r="U14" s="110"/>
      <c r="V14" s="2"/>
      <c r="W14" s="2"/>
      <c r="X14" s="2"/>
      <c r="Y14" s="2"/>
      <c r="Z14" s="2"/>
    </row>
    <row r="15" spans="1:26" ht="12.75" customHeight="1" x14ac:dyDescent="0.2">
      <c r="A15" s="24"/>
      <c r="B15" s="2"/>
      <c r="C15" s="2"/>
      <c r="D15" s="2"/>
      <c r="E15" s="2"/>
      <c r="F15" s="2"/>
      <c r="G15" s="122" t="s">
        <v>132</v>
      </c>
      <c r="H15" s="125"/>
      <c r="I15" s="185">
        <f t="shared" ref="I15:N15" si="1">I12-SUM(I13:I14)</f>
        <v>469990.74799999874</v>
      </c>
      <c r="J15" s="185">
        <f t="shared" si="1"/>
        <v>766011.24500000197</v>
      </c>
      <c r="K15" s="185">
        <f t="shared" si="1"/>
        <v>460484.8390000012</v>
      </c>
      <c r="L15" s="191">
        <f t="shared" si="1"/>
        <v>0</v>
      </c>
      <c r="M15" s="192">
        <f t="shared" si="1"/>
        <v>0</v>
      </c>
      <c r="N15" s="185">
        <f t="shared" si="1"/>
        <v>460484.8390000012</v>
      </c>
      <c r="O15" s="2"/>
      <c r="P15" s="111" t="s">
        <v>133</v>
      </c>
      <c r="Q15" s="120"/>
      <c r="R15" s="120"/>
      <c r="S15" s="182">
        <v>321046.93900000001</v>
      </c>
      <c r="T15" s="182">
        <v>309887.75099999999</v>
      </c>
      <c r="U15" s="110"/>
      <c r="V15" s="2"/>
      <c r="W15" s="2"/>
      <c r="X15" s="2"/>
      <c r="Y15" s="2"/>
      <c r="Z15" s="2"/>
    </row>
    <row r="16" spans="1:26" ht="15" customHeight="1" x14ac:dyDescent="0.2">
      <c r="A16" s="24"/>
      <c r="B16" s="271" t="s">
        <v>134</v>
      </c>
      <c r="C16" s="269"/>
      <c r="D16" s="269"/>
      <c r="E16" s="269"/>
      <c r="F16" s="2"/>
      <c r="G16" s="111" t="s">
        <v>135</v>
      </c>
      <c r="H16" s="125"/>
      <c r="I16" s="182">
        <v>292679.83399999997</v>
      </c>
      <c r="J16" s="182">
        <v>207841.26</v>
      </c>
      <c r="K16" s="182">
        <v>219641.639</v>
      </c>
      <c r="L16" s="186">
        <v>0</v>
      </c>
      <c r="M16" s="187">
        <v>0</v>
      </c>
      <c r="N16" s="188">
        <f>K16+M16-L16</f>
        <v>219641.639</v>
      </c>
      <c r="O16" s="2"/>
      <c r="P16" s="111" t="s">
        <v>136</v>
      </c>
      <c r="Q16" s="123"/>
      <c r="R16" s="123"/>
      <c r="S16" s="182">
        <v>974323.43699999922</v>
      </c>
      <c r="T16" s="182">
        <v>4676501.2059999993</v>
      </c>
      <c r="U16" s="110"/>
      <c r="V16" s="2"/>
      <c r="W16" s="2"/>
      <c r="X16" s="2"/>
      <c r="Y16" s="2"/>
      <c r="Z16" s="2"/>
    </row>
    <row r="17" spans="1:26" ht="15" customHeight="1" x14ac:dyDescent="0.2">
      <c r="A17" s="24"/>
      <c r="B17" s="111" t="s">
        <v>137</v>
      </c>
      <c r="C17" s="111"/>
      <c r="D17" s="126">
        <v>0</v>
      </c>
      <c r="E17" s="201">
        <v>13350</v>
      </c>
      <c r="F17" s="2"/>
      <c r="G17" s="122" t="s">
        <v>138</v>
      </c>
      <c r="H17" s="111"/>
      <c r="I17" s="185">
        <f t="shared" ref="I17:N17" si="2">I15-SUM(I16)</f>
        <v>177310.91399999877</v>
      </c>
      <c r="J17" s="185">
        <f t="shared" si="2"/>
        <v>558169.98500000197</v>
      </c>
      <c r="K17" s="185">
        <f t="shared" si="2"/>
        <v>240843.2000000012</v>
      </c>
      <c r="L17" s="191">
        <f t="shared" si="2"/>
        <v>0</v>
      </c>
      <c r="M17" s="192">
        <f t="shared" si="2"/>
        <v>0</v>
      </c>
      <c r="N17" s="185">
        <f t="shared" si="2"/>
        <v>240843.2000000012</v>
      </c>
      <c r="O17" s="2"/>
      <c r="P17" s="124" t="s">
        <v>139</v>
      </c>
      <c r="Q17" s="120"/>
      <c r="R17" s="120"/>
      <c r="S17" s="202">
        <f>SUM(S12:S16)</f>
        <v>13519085.552999999</v>
      </c>
      <c r="T17" s="202">
        <f>SUM(T12:T16)</f>
        <v>16493912.202000003</v>
      </c>
      <c r="U17" s="110"/>
      <c r="V17" s="2"/>
      <c r="W17" s="2"/>
      <c r="X17" s="2"/>
      <c r="Y17" s="2"/>
      <c r="Z17" s="2"/>
    </row>
    <row r="18" spans="1:26" ht="12.75" customHeight="1" x14ac:dyDescent="0.2">
      <c r="A18" s="127"/>
      <c r="B18" s="128" t="s">
        <v>140</v>
      </c>
      <c r="C18" s="128"/>
      <c r="D18" s="129"/>
      <c r="E18" s="203">
        <f>+IF(ISERROR(E17/E19),"NA",E17/E19)</f>
        <v>0.65441176470588236</v>
      </c>
      <c r="F18" s="2"/>
      <c r="G18" s="111" t="s">
        <v>141</v>
      </c>
      <c r="H18" s="111"/>
      <c r="I18" s="182">
        <v>59902.349000000002</v>
      </c>
      <c r="J18" s="182">
        <v>105161.841</v>
      </c>
      <c r="K18" s="182">
        <v>43746.851000000002</v>
      </c>
      <c r="L18" s="186">
        <v>0</v>
      </c>
      <c r="M18" s="187">
        <v>0</v>
      </c>
      <c r="N18" s="195">
        <f>K18+M18-L18</f>
        <v>43746.851000000002</v>
      </c>
      <c r="O18" s="2"/>
      <c r="P18" s="111"/>
      <c r="Q18" s="111"/>
      <c r="R18" s="111"/>
      <c r="S18" s="111"/>
      <c r="T18" s="111"/>
      <c r="U18" s="110"/>
      <c r="V18" s="2"/>
      <c r="W18" s="2"/>
      <c r="X18" s="2"/>
      <c r="Y18" s="2"/>
      <c r="Z18" s="2"/>
    </row>
    <row r="19" spans="1:26" ht="15" customHeight="1" x14ac:dyDescent="0.2">
      <c r="A19" s="24"/>
      <c r="B19" s="111" t="s">
        <v>142</v>
      </c>
      <c r="C19" s="111"/>
      <c r="D19" s="204">
        <v>0</v>
      </c>
      <c r="E19" s="205">
        <v>20400</v>
      </c>
      <c r="F19" s="2"/>
      <c r="G19" s="111" t="s">
        <v>143</v>
      </c>
      <c r="H19" s="111"/>
      <c r="I19" s="197">
        <v>0</v>
      </c>
      <c r="J19" s="197">
        <v>0</v>
      </c>
      <c r="K19" s="197">
        <v>-25.931999999999999</v>
      </c>
      <c r="L19" s="198">
        <v>0</v>
      </c>
      <c r="M19" s="199">
        <v>0</v>
      </c>
      <c r="N19" s="206">
        <f>K19+M19-L19</f>
        <v>-25.931999999999999</v>
      </c>
      <c r="O19" s="2"/>
      <c r="P19" s="111" t="s">
        <v>144</v>
      </c>
      <c r="Q19" s="123"/>
      <c r="R19" s="123"/>
      <c r="S19" s="182">
        <v>855939.49199999997</v>
      </c>
      <c r="T19" s="182">
        <v>1470090.085</v>
      </c>
      <c r="U19" s="110"/>
      <c r="V19" s="2"/>
      <c r="W19" s="2"/>
      <c r="X19" s="2"/>
      <c r="Y19" s="2"/>
      <c r="Z19" s="2"/>
    </row>
    <row r="20" spans="1:26" ht="15" customHeight="1" x14ac:dyDescent="0.2">
      <c r="A20" s="24"/>
      <c r="B20" s="111" t="s">
        <v>145</v>
      </c>
      <c r="C20" s="111"/>
      <c r="D20" s="204">
        <v>0</v>
      </c>
      <c r="E20" s="205">
        <v>12800</v>
      </c>
      <c r="F20" s="2"/>
      <c r="G20" s="111" t="s">
        <v>146</v>
      </c>
      <c r="H20" s="111"/>
      <c r="I20" s="197">
        <v>0</v>
      </c>
      <c r="J20" s="197">
        <v>0</v>
      </c>
      <c r="K20" s="197">
        <v>0</v>
      </c>
      <c r="L20" s="198">
        <v>0</v>
      </c>
      <c r="M20" s="199">
        <v>0</v>
      </c>
      <c r="N20" s="200">
        <f>K20+M20-L20</f>
        <v>0</v>
      </c>
      <c r="O20" s="2"/>
      <c r="P20" s="111" t="s">
        <v>147</v>
      </c>
      <c r="Q20" s="190"/>
      <c r="R20" s="190"/>
      <c r="S20" s="182">
        <v>218843.799</v>
      </c>
      <c r="T20" s="182">
        <v>131611.75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117408.56499999877</v>
      </c>
      <c r="J21" s="202">
        <f t="shared" si="3"/>
        <v>453008.14400000195</v>
      </c>
      <c r="K21" s="202">
        <f t="shared" si="3"/>
        <v>197122.28100000121</v>
      </c>
      <c r="L21" s="207">
        <f t="shared" si="3"/>
        <v>0</v>
      </c>
      <c r="M21" s="208">
        <f t="shared" si="3"/>
        <v>0</v>
      </c>
      <c r="N21" s="202">
        <f t="shared" si="3"/>
        <v>197122.28100000121</v>
      </c>
      <c r="O21" s="2"/>
      <c r="P21" s="111" t="s">
        <v>150</v>
      </c>
      <c r="Q21" s="120"/>
      <c r="R21" s="120"/>
      <c r="S21" s="182">
        <v>6546103.4400000004</v>
      </c>
      <c r="T21" s="182">
        <v>4966615.9050000003</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0.33783791222237125</v>
      </c>
      <c r="J22" s="203">
        <f t="shared" si="4"/>
        <v>0.18840468643257419</v>
      </c>
      <c r="K22" s="203">
        <f t="shared" si="4"/>
        <v>0.18164038262238577</v>
      </c>
      <c r="L22" s="209" t="str">
        <f t="shared" si="4"/>
        <v>NA</v>
      </c>
      <c r="M22" s="210" t="str">
        <f t="shared" si="4"/>
        <v>NA</v>
      </c>
      <c r="N22" s="203">
        <f t="shared" si="4"/>
        <v>0.18164038262238577</v>
      </c>
      <c r="O22" s="2"/>
      <c r="P22" s="124" t="s">
        <v>152</v>
      </c>
      <c r="Q22" s="123"/>
      <c r="R22" s="123"/>
      <c r="S22" s="185">
        <f>SUM(S19:S21)</f>
        <v>7620886.7310000006</v>
      </c>
      <c r="T22" s="185">
        <f>SUM(T19:T21)</f>
        <v>6568317.7400000002</v>
      </c>
      <c r="U22" s="110"/>
      <c r="V22" s="2"/>
      <c r="W22" s="2"/>
      <c r="X22" s="2"/>
      <c r="Y22" s="2"/>
      <c r="Z22" s="2"/>
    </row>
    <row r="23" spans="1:26" ht="15" customHeight="1" x14ac:dyDescent="0.2">
      <c r="A23" s="24"/>
      <c r="B23" s="111" t="s">
        <v>153</v>
      </c>
      <c r="C23" s="111"/>
      <c r="D23" s="111"/>
      <c r="E23" s="211">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5975071.2613499993</v>
      </c>
      <c r="F24" s="2"/>
      <c r="G24" s="111" t="s">
        <v>155</v>
      </c>
      <c r="H24" s="111"/>
      <c r="I24" s="182">
        <v>447.57088099999999</v>
      </c>
      <c r="J24" s="182">
        <v>447.57088099999999</v>
      </c>
      <c r="K24" s="182">
        <v>447.57088099999999</v>
      </c>
      <c r="L24" s="186">
        <v>0</v>
      </c>
      <c r="M24" s="187">
        <v>0</v>
      </c>
      <c r="N24" s="195">
        <f>+IF(ISERROR(K24+M24-L24),"NA",K24+M24-L24)</f>
        <v>447.57088099999999</v>
      </c>
      <c r="O24" s="2"/>
      <c r="P24" s="133" t="s">
        <v>156</v>
      </c>
      <c r="Q24" s="120"/>
      <c r="R24" s="120"/>
      <c r="S24" s="182">
        <v>6311656.1229999997</v>
      </c>
      <c r="T24" s="182">
        <v>6867115.3449999997</v>
      </c>
      <c r="U24" s="110"/>
      <c r="V24" s="2"/>
      <c r="W24" s="2"/>
      <c r="X24" s="2"/>
      <c r="Y24" s="2"/>
      <c r="Z24" s="2"/>
    </row>
    <row r="25" spans="1:26" ht="15" customHeight="1" x14ac:dyDescent="0.2">
      <c r="A25" s="24"/>
      <c r="B25" s="111"/>
      <c r="C25" s="111"/>
      <c r="D25" s="111"/>
      <c r="E25" s="111"/>
      <c r="F25" s="2"/>
      <c r="G25" s="111" t="s">
        <v>157</v>
      </c>
      <c r="H25" s="111"/>
      <c r="I25" s="213">
        <f>IF(ISERROR(I21/I24),"NA",I21/I24)</f>
        <v>262.32395802353096</v>
      </c>
      <c r="J25" s="213">
        <f>+IF(ISERROR(J21/J24),"NA",J21/J24)</f>
        <v>1012.1483841572838</v>
      </c>
      <c r="K25" s="213">
        <f>+IF(ISERROR(K21/K24),"NA",K21/K24)</f>
        <v>440.42695664108948</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6867115.3449999997</v>
      </c>
      <c r="F26" s="2"/>
      <c r="G26" s="2"/>
      <c r="H26" s="2"/>
      <c r="I26" s="2"/>
      <c r="J26" s="2"/>
      <c r="K26" s="2"/>
      <c r="L26" s="2"/>
      <c r="M26" s="2"/>
      <c r="N26" s="2"/>
      <c r="O26" s="2"/>
      <c r="P26" s="124" t="s">
        <v>160</v>
      </c>
      <c r="Q26" s="111"/>
      <c r="R26" s="111"/>
      <c r="S26" s="185">
        <f>S22+SUM(S24:S25)</f>
        <v>13932542.854</v>
      </c>
      <c r="T26" s="185">
        <f>T22+SUM(T24:T25)</f>
        <v>13435433.085000001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-25.931999999999999</v>
      </c>
      <c r="F28" s="2"/>
      <c r="G28" s="271" t="s">
        <v>163</v>
      </c>
      <c r="H28" s="269"/>
      <c r="I28" s="269"/>
      <c r="J28" s="269"/>
      <c r="K28" s="269"/>
      <c r="L28" s="269"/>
      <c r="M28" s="269"/>
      <c r="N28" s="269"/>
      <c r="O28" s="2"/>
      <c r="P28" s="111" t="s">
        <v>143</v>
      </c>
      <c r="Q28" s="136"/>
      <c r="R28" s="136"/>
      <c r="S28" s="182">
        <v>0</v>
      </c>
      <c r="T28" s="182">
        <v>-25.931999999999999</v>
      </c>
      <c r="U28" s="110"/>
      <c r="V28" s="2"/>
      <c r="W28" s="2"/>
      <c r="X28" s="2"/>
      <c r="Y28" s="2"/>
      <c r="Z28" s="2"/>
    </row>
    <row r="29" spans="1:26" ht="15" customHeight="1" x14ac:dyDescent="0.2">
      <c r="A29" s="24"/>
      <c r="B29" s="111" t="s">
        <v>164</v>
      </c>
      <c r="C29" s="111"/>
      <c r="D29" s="111"/>
      <c r="E29" s="217">
        <f>-T8</f>
        <v>-838864.11</v>
      </c>
      <c r="F29" s="2"/>
      <c r="G29" s="111" t="s">
        <v>165</v>
      </c>
      <c r="H29" s="111"/>
      <c r="I29" s="218">
        <f t="shared" ref="I29:N29" si="5">I12</f>
        <v>1112263.0159999989</v>
      </c>
      <c r="J29" s="218">
        <f t="shared" si="5"/>
        <v>1831773.9550000019</v>
      </c>
      <c r="K29" s="218">
        <f t="shared" si="5"/>
        <v>785173.58700000122</v>
      </c>
      <c r="L29" s="219">
        <f t="shared" si="5"/>
        <v>0</v>
      </c>
      <c r="M29" s="220">
        <f t="shared" si="5"/>
        <v>0</v>
      </c>
      <c r="N29" s="218">
        <f t="shared" si="5"/>
        <v>785173.58700000122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12003296.56435</v>
      </c>
      <c r="F30" s="221"/>
      <c r="G30" s="111" t="s">
        <v>168</v>
      </c>
      <c r="H30" s="111"/>
      <c r="I30" s="223">
        <v>0</v>
      </c>
      <c r="J30" s="223">
        <v>0</v>
      </c>
      <c r="K30" s="223">
        <v>0</v>
      </c>
      <c r="L30" s="186">
        <v>0</v>
      </c>
      <c r="M30" s="187">
        <v>0</v>
      </c>
      <c r="N30" s="188">
        <f>K30+M30-L30</f>
        <v>0</v>
      </c>
      <c r="O30" s="2"/>
      <c r="P30" s="133" t="s">
        <v>169</v>
      </c>
      <c r="Q30" s="224"/>
      <c r="R30" s="224"/>
      <c r="S30" s="182">
        <v>5871406.574</v>
      </c>
      <c r="T30" s="182">
        <v>7635393.3449999997</v>
      </c>
      <c r="U30" s="2"/>
      <c r="V30" s="2"/>
      <c r="W30" s="2"/>
      <c r="X30" s="2"/>
      <c r="Y30" s="2"/>
      <c r="Z30" s="2"/>
    </row>
    <row r="31" spans="1:26" ht="15" customHeight="1" x14ac:dyDescent="0.2">
      <c r="A31" s="24"/>
      <c r="B31" s="2"/>
      <c r="C31" s="2"/>
      <c r="D31" s="2"/>
      <c r="E31" s="2"/>
      <c r="F31" s="221"/>
      <c r="G31" s="122" t="s">
        <v>170</v>
      </c>
      <c r="H31" s="111"/>
      <c r="I31" s="185">
        <f t="shared" ref="I31:N31" si="6">SUM(I29:I30)</f>
        <v>1112263.0159999989</v>
      </c>
      <c r="J31" s="185">
        <f t="shared" si="6"/>
        <v>1831773.9550000019</v>
      </c>
      <c r="K31" s="185">
        <f t="shared" si="6"/>
        <v>785173.58700000122</v>
      </c>
      <c r="L31" s="191">
        <f t="shared" si="6"/>
        <v>0</v>
      </c>
      <c r="M31" s="192">
        <f t="shared" si="6"/>
        <v>0</v>
      </c>
      <c r="N31" s="185">
        <f t="shared" si="6"/>
        <v>785173.58700000122</v>
      </c>
      <c r="O31" s="2"/>
      <c r="P31" s="124" t="s">
        <v>171</v>
      </c>
      <c r="Q31" s="224"/>
      <c r="R31" s="224"/>
      <c r="S31" s="202">
        <f>S26+SUM(S28:S30)</f>
        <v>19803949.427999999</v>
      </c>
      <c r="T31" s="202">
        <f>T26+SUM(T28:T30)</f>
        <v>21070800.498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5.9812032479049218E-2</v>
      </c>
      <c r="J32" s="203">
        <f t="shared" si="7"/>
        <v>8.8882138032187821E-2</v>
      </c>
      <c r="K32" s="203">
        <f t="shared" si="7"/>
        <v>5.3023088718985985E-2</v>
      </c>
      <c r="L32" s="209" t="str">
        <f t="shared" si="7"/>
        <v>NA</v>
      </c>
      <c r="M32" s="210" t="str">
        <f t="shared" si="7"/>
        <v>NA</v>
      </c>
      <c r="N32" s="203">
        <f t="shared" si="7"/>
        <v>5.3023088718985985E-2</v>
      </c>
      <c r="O32" s="2"/>
      <c r="P32" s="128" t="s">
        <v>174</v>
      </c>
      <c r="Q32" s="137"/>
      <c r="R32" s="137"/>
      <c r="S32" s="225">
        <f>S17-S31</f>
        <v>-6284863.875</v>
      </c>
      <c r="T32" s="225">
        <f>T17-T31</f>
        <v>-4576888.2959999964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469990.74799999874</v>
      </c>
      <c r="J34" s="218">
        <f t="shared" si="8"/>
        <v>766011.24500000197</v>
      </c>
      <c r="K34" s="218">
        <f t="shared" si="8"/>
        <v>460484.8390000012</v>
      </c>
      <c r="L34" s="227">
        <f t="shared" si="8"/>
        <v>0</v>
      </c>
      <c r="M34" s="228">
        <f t="shared" si="8"/>
        <v>0</v>
      </c>
      <c r="N34" s="218">
        <f t="shared" si="8"/>
        <v>460484.8390000012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0.81058745376750507</v>
      </c>
      <c r="D35" s="229">
        <f>IF(ISERROR($E$30/D36),"NA",$E$30/D36)</f>
        <v>0.83565716883247954</v>
      </c>
      <c r="E35" s="229">
        <f>IF(ISERROR($E$30/E36),"NA",$E$30/E36)</f>
        <v>0.85271139676783636</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447.57088099999999</v>
      </c>
      <c r="U35" s="110"/>
      <c r="V35" s="2"/>
      <c r="W35" s="2"/>
      <c r="X35" s="2"/>
      <c r="Y35" s="2"/>
      <c r="Z35" s="2"/>
    </row>
    <row r="36" spans="1:26" ht="15" customHeight="1" x14ac:dyDescent="0.2">
      <c r="A36" s="24"/>
      <c r="B36" s="111" t="s">
        <v>181</v>
      </c>
      <c r="C36" s="218">
        <f>N10</f>
        <v>14808145.017000001</v>
      </c>
      <c r="D36" s="180">
        <v>14363900.66649</v>
      </c>
      <c r="E36" s="180">
        <v>14076622.6531602</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14.591258758968289</v>
      </c>
      <c r="D37" s="229">
        <f>IF(ISERROR($E$30/D38),"NA",$E$30/D38)</f>
        <v>15.042534784774347</v>
      </c>
      <c r="E37" s="229">
        <f>IF(ISERROR($E$30/E38),"NA",$E$30/E38)</f>
        <v>15.349525290586069</v>
      </c>
      <c r="F37" s="2"/>
      <c r="G37" s="122" t="s">
        <v>185</v>
      </c>
      <c r="H37" s="111"/>
      <c r="I37" s="185">
        <f t="shared" ref="I37:N37" si="10">SUM(I34:I36)</f>
        <v>469990.74799999874</v>
      </c>
      <c r="J37" s="185">
        <f t="shared" si="10"/>
        <v>766011.24500000197</v>
      </c>
      <c r="K37" s="185">
        <f t="shared" si="10"/>
        <v>460484.8390000012</v>
      </c>
      <c r="L37" s="191">
        <f t="shared" si="10"/>
        <v>0</v>
      </c>
      <c r="M37" s="192">
        <f t="shared" si="10"/>
        <v>0</v>
      </c>
      <c r="N37" s="185">
        <f t="shared" si="10"/>
        <v>460484.8390000012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822636.12500000116</v>
      </c>
      <c r="D38" s="180">
        <v>797957.04221999983</v>
      </c>
      <c r="E38" s="180">
        <v>781997.90137559979</v>
      </c>
      <c r="F38" s="2"/>
      <c r="G38" s="128" t="s">
        <v>173</v>
      </c>
      <c r="H38" s="128"/>
      <c r="I38" s="203">
        <f t="shared" ref="I38:N38" si="11">IF(ISERROR(I37/I10),"NA",I37/I10)</f>
        <v>2.5273789993776604E-2</v>
      </c>
      <c r="J38" s="203">
        <f t="shared" si="11"/>
        <v>3.7168733088738644E-2</v>
      </c>
      <c r="K38" s="203">
        <f t="shared" si="11"/>
        <v>3.1096726731900372E-2</v>
      </c>
      <c r="L38" s="209" t="str">
        <f t="shared" si="11"/>
        <v>NA</v>
      </c>
      <c r="M38" s="210" t="str">
        <f t="shared" si="11"/>
        <v>NA</v>
      </c>
      <c r="N38" s="203">
        <f t="shared" si="11"/>
        <v>3.1096726731900372E-2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26.066648774836143</v>
      </c>
      <c r="D39" s="229">
        <f>IF(ISERROR($E$30/D40),"NA",$E$30/D40)</f>
        <v>26.872833730133248</v>
      </c>
      <c r="E39" s="229">
        <f>IF(ISERROR($E$30/E40),"NA",$E$30/E40)</f>
        <v>27.421258908299237</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460484.8390000012</v>
      </c>
      <c r="D40" s="180">
        <v>446670.29479999992</v>
      </c>
      <c r="E40" s="180">
        <v>437736.88890399988</v>
      </c>
      <c r="F40" s="237"/>
      <c r="G40" s="111" t="s">
        <v>190</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191</v>
      </c>
      <c r="Q40" s="111"/>
      <c r="R40" s="111"/>
      <c r="S40" s="111"/>
      <c r="T40" s="238">
        <f>T35+SUM(T38:T39)</f>
        <v>447.57088099999999</v>
      </c>
      <c r="U40" s="110"/>
      <c r="V40" s="2"/>
      <c r="W40" s="2"/>
      <c r="X40" s="2"/>
      <c r="Y40" s="2"/>
      <c r="Z40" s="2"/>
    </row>
    <row r="41" spans="1:26" ht="12.75" customHeight="1" x14ac:dyDescent="0.2">
      <c r="A41" s="24"/>
      <c r="B41" s="111" t="s">
        <v>192</v>
      </c>
      <c r="C41" s="229">
        <f>IF(ISERROR($E$17/N52),"NA",E17/N52)</f>
        <v>30.31149614867719</v>
      </c>
      <c r="D41" s="229">
        <f>IF(ISERROR($E$17/D42),"NA",$E$17/D42)</f>
        <v>30.448864154730408</v>
      </c>
      <c r="E41" s="229">
        <f>IF(ISERROR($E$17/E42),"NA",$E$17/E42)</f>
        <v>31.070269545643274</v>
      </c>
      <c r="F41" s="2"/>
      <c r="G41" s="122" t="s">
        <v>193</v>
      </c>
      <c r="H41" s="111"/>
      <c r="I41" s="185">
        <f t="shared" ref="I41:N41" si="13">I40+I37</f>
        <v>845818.23899999866</v>
      </c>
      <c r="J41" s="185">
        <f t="shared" si="13"/>
        <v>1136181.6390000018</v>
      </c>
      <c r="K41" s="185">
        <f t="shared" si="13"/>
        <v>822636.12500000116</v>
      </c>
      <c r="L41" s="191">
        <f t="shared" si="13"/>
        <v>0</v>
      </c>
      <c r="M41" s="192">
        <f t="shared" si="13"/>
        <v>0</v>
      </c>
      <c r="N41" s="185">
        <f t="shared" si="13"/>
        <v>822636.12500000116</v>
      </c>
      <c r="O41" s="2"/>
      <c r="P41" s="111"/>
      <c r="Q41" s="111"/>
      <c r="R41" s="111"/>
      <c r="S41" s="111"/>
      <c r="T41" s="111"/>
      <c r="U41" s="110"/>
      <c r="V41" s="2"/>
      <c r="W41" s="2"/>
      <c r="X41" s="2"/>
      <c r="Y41" s="2"/>
      <c r="Z41" s="2"/>
    </row>
    <row r="42" spans="1:26" ht="15" customHeight="1" x14ac:dyDescent="0.2">
      <c r="A42" s="24"/>
      <c r="B42" s="111" t="s">
        <v>181</v>
      </c>
      <c r="C42" s="213">
        <f>N52</f>
        <v>440.42695664108948</v>
      </c>
      <c r="D42" s="201">
        <v>438.44</v>
      </c>
      <c r="E42" s="201">
        <v>429.6712</v>
      </c>
      <c r="F42" s="2"/>
      <c r="G42" s="128" t="s">
        <v>173</v>
      </c>
      <c r="H42" s="128"/>
      <c r="I42" s="203">
        <f t="shared" ref="I42:N42" si="14">IF(ISERROR(I41/I10),"NA",I41/I10)</f>
        <v>4.5483943325182165E-2</v>
      </c>
      <c r="J42" s="203">
        <f t="shared" si="14"/>
        <v>5.5130303054906932E-2</v>
      </c>
      <c r="K42" s="203">
        <f t="shared" si="14"/>
        <v>5.5552949005807345E-2</v>
      </c>
      <c r="L42" s="209" t="str">
        <f t="shared" si="14"/>
        <v>NA</v>
      </c>
      <c r="M42" s="210" t="str">
        <f t="shared" si="14"/>
        <v>NA</v>
      </c>
      <c r="N42" s="203">
        <f t="shared" si="14"/>
        <v>5.5552949005807345E-2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117408.56499999877</v>
      </c>
      <c r="J44" s="218">
        <f t="shared" si="15"/>
        <v>453008.14400000195</v>
      </c>
      <c r="K44" s="218">
        <f t="shared" si="15"/>
        <v>197122.28100000121</v>
      </c>
      <c r="L44" s="227">
        <f t="shared" si="15"/>
        <v>0</v>
      </c>
      <c r="M44" s="228">
        <f t="shared" si="15"/>
        <v>0</v>
      </c>
      <c r="N44" s="218">
        <f t="shared" si="15"/>
        <v>197122.28100000121</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3.6180414269212625E-2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2.9188598658770316E-2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1.3135794205506294E-2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117408.56499999877</v>
      </c>
      <c r="J49" s="202">
        <f t="shared" si="19"/>
        <v>453008.14400000195</v>
      </c>
      <c r="K49" s="202">
        <f t="shared" si="19"/>
        <v>197122.28100000121</v>
      </c>
      <c r="L49" s="207">
        <f t="shared" si="19"/>
        <v>0</v>
      </c>
      <c r="M49" s="208">
        <f t="shared" si="19"/>
        <v>0</v>
      </c>
      <c r="N49" s="202">
        <f t="shared" si="19"/>
        <v>197122.28100000121</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6.3136549557793568E-3</v>
      </c>
      <c r="J50" s="203">
        <f t="shared" si="20"/>
        <v>2.1981059548754938E-2</v>
      </c>
      <c r="K50" s="203">
        <f t="shared" si="20"/>
        <v>1.3311747067151321E-2</v>
      </c>
      <c r="L50" s="209" t="str">
        <f t="shared" si="20"/>
        <v>NA</v>
      </c>
      <c r="M50" s="210" t="str">
        <f t="shared" si="20"/>
        <v>NA</v>
      </c>
      <c r="N50" s="203">
        <f t="shared" si="20"/>
        <v>1.3311747067151321E-2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8.3476948511104947</v>
      </c>
      <c r="F52" s="2"/>
      <c r="G52" s="111" t="s">
        <v>219</v>
      </c>
      <c r="H52" s="111"/>
      <c r="I52" s="213">
        <f t="shared" ref="I52:N52" si="21">IF(ISERROR(I49/I24),0,I49/I24)</f>
        <v>262.32395802353096</v>
      </c>
      <c r="J52" s="213">
        <f t="shared" si="21"/>
        <v>1012.1483841572838</v>
      </c>
      <c r="K52" s="213">
        <f t="shared" si="21"/>
        <v>440.42695664108948</v>
      </c>
      <c r="L52" s="214">
        <f t="shared" si="21"/>
        <v>0</v>
      </c>
      <c r="M52" s="215">
        <f t="shared" si="21"/>
        <v>0</v>
      </c>
      <c r="N52" s="213">
        <f t="shared" si="21"/>
        <v>440.42695664108948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7.3279680429788945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3.7453559750571759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-11.874451187281476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2.0965279675408048</v>
      </c>
      <c r="F56" s="2"/>
      <c r="G56" s="111" t="s">
        <v>190</v>
      </c>
      <c r="H56" s="111"/>
      <c r="I56" s="182">
        <v>375827.49099999998</v>
      </c>
      <c r="J56" s="182">
        <v>370170.39399999997</v>
      </c>
      <c r="K56" s="182">
        <v>362151.28600000002</v>
      </c>
      <c r="L56" s="252">
        <v>0</v>
      </c>
      <c r="M56" s="253">
        <v>0</v>
      </c>
      <c r="N56" s="195">
        <f>K56+M56-L56</f>
        <v>362151.28600000002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2.0210153331405561E-2</v>
      </c>
      <c r="J57" s="255">
        <f t="shared" si="22"/>
        <v>1.7961569966168295E-2</v>
      </c>
      <c r="K57" s="255">
        <f t="shared" si="22"/>
        <v>2.4456222273906977E-2</v>
      </c>
      <c r="L57" s="256" t="str">
        <f t="shared" si="22"/>
        <v>NA</v>
      </c>
      <c r="M57" s="257" t="str">
        <f t="shared" si="22"/>
        <v>NA</v>
      </c>
      <c r="N57" s="255">
        <f t="shared" si="22"/>
        <v>2.4456222273906977E-2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130230.497</v>
      </c>
      <c r="J58" s="182">
        <v>884430.18400000001</v>
      </c>
      <c r="K58" s="182">
        <v>3430760.0460000001</v>
      </c>
      <c r="L58" s="186">
        <v>0</v>
      </c>
      <c r="M58" s="187">
        <v>0</v>
      </c>
      <c r="N58" s="195">
        <f>K58+M58-L58</f>
        <v>3430760.0460000001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7.0031553726737682E-3</v>
      </c>
      <c r="J59" s="255">
        <f t="shared" si="23"/>
        <v>4.2914708706032013E-2</v>
      </c>
      <c r="K59" s="255">
        <f t="shared" si="23"/>
        <v>0.23168060834503104</v>
      </c>
      <c r="L59" s="258" t="str">
        <f t="shared" si="23"/>
        <v>NA</v>
      </c>
      <c r="M59" s="259" t="str">
        <f t="shared" si="23"/>
        <v>NA</v>
      </c>
      <c r="N59" s="255">
        <f t="shared" si="23"/>
        <v>0.23168060834503104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-0.28147270256299339</v>
      </c>
      <c r="D61" s="203">
        <f>IF(ISERROR(K41/J41-1),0,K41/J41-1)</f>
        <v>-0.27596425011406134</v>
      </c>
      <c r="E61" s="203">
        <f>IF(ISERROR(K52/J52-1),0,K52/J52-1)</f>
        <v>-0.56485929974804083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-0.10763842505073784</v>
      </c>
      <c r="D62" s="203">
        <f>IF(ISERROR((K41/I41)^(1/2)-1),0,(K41/I41)^(1/2)-1)</f>
        <v>-1.3799165751279374E-2</v>
      </c>
      <c r="E62" s="203">
        <f>IF(ISERROR((K52/I52)^(1/2)-1),0,(K52/I52)^(1/2)-1)</f>
        <v>0.29574030477770474</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-2.9999998820865459E-2</v>
      </c>
      <c r="E64" s="203">
        <f>IF(ISERROR(D42/K52-1),0,D42/K52-1)</f>
        <v>-4.5114328519829661E-3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-2.5012820004513103E-2</v>
      </c>
      <c r="E65" s="203">
        <f>IF(ISERROR((E42/K52)^(1/2)-1),0,(E42/K52)^(1/2)-1)</f>
        <v>-1.2286075928329976E-2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135720.622</v>
      </c>
      <c r="T8" s="180">
        <v>60338.803999999996</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643909.00100000005</v>
      </c>
      <c r="T9" s="182">
        <v>344585.84</v>
      </c>
      <c r="U9" s="110"/>
      <c r="V9" s="2"/>
      <c r="W9" s="2"/>
      <c r="X9" s="2"/>
      <c r="Y9" s="2"/>
      <c r="Z9" s="2"/>
    </row>
    <row r="10" spans="1:26" ht="15" customHeight="1" x14ac:dyDescent="0.2">
      <c r="A10" s="24"/>
      <c r="B10" s="111" t="s">
        <v>118</v>
      </c>
      <c r="C10" s="111"/>
      <c r="D10" s="121"/>
      <c r="E10" s="150">
        <v>46022</v>
      </c>
      <c r="F10" s="2"/>
      <c r="G10" s="122" t="s">
        <v>34</v>
      </c>
      <c r="H10" s="122"/>
      <c r="I10" s="180">
        <v>7555693.0609999998</v>
      </c>
      <c r="J10" s="180">
        <v>7321865.8300000001</v>
      </c>
      <c r="K10" s="180">
        <v>7318590.5640000002</v>
      </c>
      <c r="L10" s="183">
        <v>0</v>
      </c>
      <c r="M10" s="184">
        <v>0</v>
      </c>
      <c r="N10" s="185">
        <f>K10+M10-L10</f>
        <v>7318590.5640000002</v>
      </c>
      <c r="O10" s="2"/>
      <c r="P10" s="111" t="s">
        <v>119</v>
      </c>
      <c r="Q10" s="123"/>
      <c r="R10" s="123"/>
      <c r="S10" s="182">
        <v>546239.59299999999</v>
      </c>
      <c r="T10" s="182">
        <v>531443.28</v>
      </c>
      <c r="U10" s="110"/>
      <c r="V10" s="2"/>
      <c r="W10" s="2"/>
      <c r="X10" s="2"/>
      <c r="Y10" s="2"/>
      <c r="Z10" s="2"/>
    </row>
    <row r="11" spans="1:26" ht="15" customHeight="1" x14ac:dyDescent="0.2">
      <c r="A11" s="24"/>
      <c r="B11" s="111" t="s">
        <v>120</v>
      </c>
      <c r="C11" s="111"/>
      <c r="D11" s="117"/>
      <c r="E11" s="149" t="s">
        <v>121</v>
      </c>
      <c r="F11" s="2"/>
      <c r="G11" s="111" t="s">
        <v>122</v>
      </c>
      <c r="H11" s="111"/>
      <c r="I11" s="182">
        <v>7364782.4469999997</v>
      </c>
      <c r="J11" s="182">
        <v>7099875.1380000003</v>
      </c>
      <c r="K11" s="182">
        <v>7032910.983</v>
      </c>
      <c r="L11" s="186">
        <v>0</v>
      </c>
      <c r="M11" s="187">
        <v>0</v>
      </c>
      <c r="N11" s="188">
        <f>K11+M11-L11</f>
        <v>7032910.983</v>
      </c>
      <c r="O11" s="189"/>
      <c r="P11" s="111" t="s">
        <v>123</v>
      </c>
      <c r="Q11" s="190"/>
      <c r="R11" s="190"/>
      <c r="S11" s="182">
        <v>1095.9569999999369</v>
      </c>
      <c r="T11" s="182">
        <v>302560.34499999997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190910.61400000006</v>
      </c>
      <c r="J12" s="185">
        <f t="shared" si="0"/>
        <v>221990.69199999981</v>
      </c>
      <c r="K12" s="185">
        <f t="shared" si="0"/>
        <v>285679.58100000024</v>
      </c>
      <c r="L12" s="191">
        <f t="shared" si="0"/>
        <v>0</v>
      </c>
      <c r="M12" s="192">
        <f t="shared" si="0"/>
        <v>0</v>
      </c>
      <c r="N12" s="185">
        <f t="shared" si="0"/>
        <v>285679.58100000024</v>
      </c>
      <c r="O12" s="2"/>
      <c r="P12" s="124" t="s">
        <v>126</v>
      </c>
      <c r="Q12" s="120"/>
      <c r="R12" s="120"/>
      <c r="S12" s="185">
        <f>SUM(S8:S11)</f>
        <v>1326965.173</v>
      </c>
      <c r="T12" s="185">
        <f>SUM(T8:T11)</f>
        <v>1238928.2690000001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85211.687999999995</v>
      </c>
      <c r="J13" s="182">
        <v>78153.100000000006</v>
      </c>
      <c r="K13" s="182">
        <v>93949.351999999999</v>
      </c>
      <c r="L13" s="186">
        <v>0</v>
      </c>
      <c r="M13" s="187">
        <v>0</v>
      </c>
      <c r="N13" s="195">
        <f>K13+M13-L13</f>
        <v>93949.351999999999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-2757.3859999999991</v>
      </c>
      <c r="J14" s="197">
        <v>-11860.043999999991</v>
      </c>
      <c r="K14" s="197">
        <v>-80307.94</v>
      </c>
      <c r="L14" s="198">
        <v>0</v>
      </c>
      <c r="M14" s="199">
        <v>0</v>
      </c>
      <c r="N14" s="200">
        <f>K14+M14-L14</f>
        <v>-80307.94</v>
      </c>
      <c r="O14" s="2"/>
      <c r="P14" s="111" t="s">
        <v>131</v>
      </c>
      <c r="Q14" s="123"/>
      <c r="R14" s="123"/>
      <c r="S14" s="182">
        <v>107541.567</v>
      </c>
      <c r="T14" s="182">
        <v>104701.712</v>
      </c>
      <c r="U14" s="110"/>
      <c r="V14" s="2"/>
      <c r="W14" s="2"/>
      <c r="X14" s="2"/>
      <c r="Y14" s="2"/>
      <c r="Z14" s="2"/>
    </row>
    <row r="15" spans="1:26" ht="12.75" customHeight="1" x14ac:dyDescent="0.2">
      <c r="A15" s="24"/>
      <c r="B15" s="2"/>
      <c r="C15" s="2"/>
      <c r="D15" s="2"/>
      <c r="E15" s="2"/>
      <c r="F15" s="2"/>
      <c r="G15" s="122" t="s">
        <v>132</v>
      </c>
      <c r="H15" s="125"/>
      <c r="I15" s="185">
        <f t="shared" ref="I15:N15" si="1">I12-SUM(I13:I14)</f>
        <v>108456.31200000006</v>
      </c>
      <c r="J15" s="185">
        <f t="shared" si="1"/>
        <v>155697.63599999979</v>
      </c>
      <c r="K15" s="185">
        <f t="shared" si="1"/>
        <v>272038.16900000023</v>
      </c>
      <c r="L15" s="191">
        <f t="shared" si="1"/>
        <v>0</v>
      </c>
      <c r="M15" s="192">
        <f t="shared" si="1"/>
        <v>0</v>
      </c>
      <c r="N15" s="185">
        <f t="shared" si="1"/>
        <v>272038.16900000023</v>
      </c>
      <c r="O15" s="2"/>
      <c r="P15" s="111" t="s">
        <v>133</v>
      </c>
      <c r="Q15" s="120"/>
      <c r="R15" s="120"/>
      <c r="S15" s="182">
        <v>14361.061</v>
      </c>
      <c r="T15" s="182">
        <v>13923.826999999999</v>
      </c>
      <c r="U15" s="110"/>
      <c r="V15" s="2"/>
      <c r="W15" s="2"/>
      <c r="X15" s="2"/>
      <c r="Y15" s="2"/>
      <c r="Z15" s="2"/>
    </row>
    <row r="16" spans="1:26" ht="15" customHeight="1" x14ac:dyDescent="0.2">
      <c r="A16" s="24"/>
      <c r="B16" s="271" t="s">
        <v>134</v>
      </c>
      <c r="C16" s="269"/>
      <c r="D16" s="269"/>
      <c r="E16" s="269"/>
      <c r="F16" s="2"/>
      <c r="G16" s="111" t="s">
        <v>135</v>
      </c>
      <c r="H16" s="125"/>
      <c r="I16" s="182">
        <v>36166.019999999997</v>
      </c>
      <c r="J16" s="182">
        <v>20776.917000000001</v>
      </c>
      <c r="K16" s="182">
        <v>17944.805</v>
      </c>
      <c r="L16" s="186">
        <v>0</v>
      </c>
      <c r="M16" s="187">
        <v>0</v>
      </c>
      <c r="N16" s="188">
        <f>K16+M16-L16</f>
        <v>17944.805</v>
      </c>
      <c r="O16" s="2"/>
      <c r="P16" s="111" t="s">
        <v>136</v>
      </c>
      <c r="Q16" s="123"/>
      <c r="R16" s="123"/>
      <c r="S16" s="182">
        <v>885227.99300000025</v>
      </c>
      <c r="T16" s="182">
        <v>971840.09399999958</v>
      </c>
      <c r="U16" s="110"/>
      <c r="V16" s="2"/>
      <c r="W16" s="2"/>
      <c r="X16" s="2"/>
      <c r="Y16" s="2"/>
      <c r="Z16" s="2"/>
    </row>
    <row r="17" spans="1:26" ht="15" customHeight="1" x14ac:dyDescent="0.2">
      <c r="A17" s="24"/>
      <c r="B17" s="111" t="s">
        <v>137</v>
      </c>
      <c r="C17" s="111"/>
      <c r="D17" s="126">
        <v>0</v>
      </c>
      <c r="E17" s="201">
        <v>21200</v>
      </c>
      <c r="F17" s="2"/>
      <c r="G17" s="122" t="s">
        <v>138</v>
      </c>
      <c r="H17" s="111"/>
      <c r="I17" s="185">
        <f t="shared" ref="I17:N17" si="2">I15-SUM(I16)</f>
        <v>72290.292000000074</v>
      </c>
      <c r="J17" s="185">
        <f t="shared" si="2"/>
        <v>134920.71899999981</v>
      </c>
      <c r="K17" s="185">
        <f t="shared" si="2"/>
        <v>254093.36400000023</v>
      </c>
      <c r="L17" s="191">
        <f t="shared" si="2"/>
        <v>0</v>
      </c>
      <c r="M17" s="192">
        <f t="shared" si="2"/>
        <v>0</v>
      </c>
      <c r="N17" s="185">
        <f t="shared" si="2"/>
        <v>254093.36400000023</v>
      </c>
      <c r="O17" s="2"/>
      <c r="P17" s="124" t="s">
        <v>139</v>
      </c>
      <c r="Q17" s="120"/>
      <c r="R17" s="120"/>
      <c r="S17" s="202">
        <f>SUM(S12:S16)</f>
        <v>2334095.7940000002</v>
      </c>
      <c r="T17" s="202">
        <f>SUM(T12:T16)</f>
        <v>2329393.9019999998</v>
      </c>
      <c r="U17" s="110"/>
      <c r="V17" s="2"/>
      <c r="W17" s="2"/>
      <c r="X17" s="2"/>
      <c r="Y17" s="2"/>
      <c r="Z17" s="2"/>
    </row>
    <row r="18" spans="1:26" ht="12.75" customHeight="1" x14ac:dyDescent="0.2">
      <c r="A18" s="127"/>
      <c r="B18" s="128" t="s">
        <v>140</v>
      </c>
      <c r="C18" s="128"/>
      <c r="D18" s="129"/>
      <c r="E18" s="203">
        <f>+IF(ISERROR(E17/E19),"NA",E17/E19)</f>
        <v>0.62362112075305187</v>
      </c>
      <c r="F18" s="2"/>
      <c r="G18" s="111" t="s">
        <v>141</v>
      </c>
      <c r="H18" s="111"/>
      <c r="I18" s="182">
        <v>14212.699000000001</v>
      </c>
      <c r="J18" s="182">
        <v>25050.855</v>
      </c>
      <c r="K18" s="182">
        <v>37052.347999999998</v>
      </c>
      <c r="L18" s="186">
        <v>0</v>
      </c>
      <c r="M18" s="187">
        <v>0</v>
      </c>
      <c r="N18" s="195">
        <f>K18+M18-L18</f>
        <v>37052.347999999998</v>
      </c>
      <c r="O18" s="2"/>
      <c r="P18" s="111"/>
      <c r="Q18" s="111"/>
      <c r="R18" s="111"/>
      <c r="S18" s="111"/>
      <c r="T18" s="111"/>
      <c r="U18" s="110"/>
      <c r="V18" s="2"/>
      <c r="W18" s="2"/>
      <c r="X18" s="2"/>
      <c r="Y18" s="2"/>
      <c r="Z18" s="2"/>
    </row>
    <row r="19" spans="1:26" ht="15" customHeight="1" x14ac:dyDescent="0.2">
      <c r="A19" s="24"/>
      <c r="B19" s="111" t="s">
        <v>142</v>
      </c>
      <c r="C19" s="111"/>
      <c r="D19" s="204">
        <v>0</v>
      </c>
      <c r="E19" s="205">
        <v>33995</v>
      </c>
      <c r="F19" s="2"/>
      <c r="G19" s="111" t="s">
        <v>143</v>
      </c>
      <c r="H19" s="111"/>
      <c r="I19" s="197">
        <v>10.89</v>
      </c>
      <c r="J19" s="197">
        <v>15.259</v>
      </c>
      <c r="K19" s="197">
        <v>22.981999999999999</v>
      </c>
      <c r="L19" s="198">
        <v>0</v>
      </c>
      <c r="M19" s="199">
        <v>0</v>
      </c>
      <c r="N19" s="206">
        <f>K19+M19-L19</f>
        <v>22.981999999999999</v>
      </c>
      <c r="O19" s="2"/>
      <c r="P19" s="111" t="s">
        <v>144</v>
      </c>
      <c r="Q19" s="123"/>
      <c r="R19" s="123"/>
      <c r="S19" s="182">
        <v>393220.67599999998</v>
      </c>
      <c r="T19" s="182">
        <v>128835.16800000001</v>
      </c>
      <c r="U19" s="110"/>
      <c r="V19" s="2"/>
      <c r="W19" s="2"/>
      <c r="X19" s="2"/>
      <c r="Y19" s="2"/>
      <c r="Z19" s="2"/>
    </row>
    <row r="20" spans="1:26" ht="15" customHeight="1" x14ac:dyDescent="0.2">
      <c r="A20" s="24"/>
      <c r="B20" s="111" t="s">
        <v>145</v>
      </c>
      <c r="C20" s="111"/>
      <c r="D20" s="204">
        <v>0</v>
      </c>
      <c r="E20" s="205">
        <v>20588</v>
      </c>
      <c r="F20" s="2"/>
      <c r="G20" s="111" t="s">
        <v>146</v>
      </c>
      <c r="H20" s="111"/>
      <c r="I20" s="197">
        <v>0</v>
      </c>
      <c r="J20" s="197">
        <v>0</v>
      </c>
      <c r="K20" s="197">
        <v>0</v>
      </c>
      <c r="L20" s="198">
        <v>0</v>
      </c>
      <c r="M20" s="199">
        <v>0</v>
      </c>
      <c r="N20" s="200">
        <f>K20+M20-L20</f>
        <v>0</v>
      </c>
      <c r="O20" s="2"/>
      <c r="P20" s="111" t="s">
        <v>147</v>
      </c>
      <c r="Q20" s="190"/>
      <c r="R20" s="190"/>
      <c r="S20" s="182">
        <v>31881.495999999999</v>
      </c>
      <c r="T20" s="182">
        <v>52707.196000000004</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58066.703000000074</v>
      </c>
      <c r="J21" s="202">
        <f t="shared" si="3"/>
        <v>109854.60499999981</v>
      </c>
      <c r="K21" s="202">
        <f t="shared" si="3"/>
        <v>217018.03400000022</v>
      </c>
      <c r="L21" s="207">
        <f t="shared" si="3"/>
        <v>0</v>
      </c>
      <c r="M21" s="208">
        <f t="shared" si="3"/>
        <v>0</v>
      </c>
      <c r="N21" s="202">
        <f t="shared" si="3"/>
        <v>217018.03400000022</v>
      </c>
      <c r="O21" s="2"/>
      <c r="P21" s="111" t="s">
        <v>150</v>
      </c>
      <c r="Q21" s="120"/>
      <c r="R21" s="120"/>
      <c r="S21" s="182">
        <v>618682.20499999996</v>
      </c>
      <c r="T21" s="182">
        <v>644058.946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0.19660591494083307</v>
      </c>
      <c r="J22" s="203">
        <f t="shared" si="4"/>
        <v>0.18567092723542361</v>
      </c>
      <c r="K22" s="203">
        <f t="shared" si="4"/>
        <v>0.14582178541270352</v>
      </c>
      <c r="L22" s="209" t="str">
        <f t="shared" si="4"/>
        <v>NA</v>
      </c>
      <c r="M22" s="210" t="str">
        <f t="shared" si="4"/>
        <v>NA</v>
      </c>
      <c r="N22" s="203">
        <f t="shared" si="4"/>
        <v>0.14582178541270352</v>
      </c>
      <c r="O22" s="2"/>
      <c r="P22" s="124" t="s">
        <v>152</v>
      </c>
      <c r="Q22" s="123"/>
      <c r="R22" s="123"/>
      <c r="S22" s="185">
        <f>SUM(S19:S21)</f>
        <v>1043784.3769999999</v>
      </c>
      <c r="T22" s="185">
        <f>SUM(T19:T21)</f>
        <v>825601.31</v>
      </c>
      <c r="U22" s="110"/>
      <c r="V22" s="2"/>
      <c r="W22" s="2"/>
      <c r="X22" s="2"/>
      <c r="Y22" s="2"/>
      <c r="Z22" s="2"/>
    </row>
    <row r="23" spans="1:26" ht="15" customHeight="1" x14ac:dyDescent="0.2">
      <c r="A23" s="24"/>
      <c r="B23" s="111" t="s">
        <v>153</v>
      </c>
      <c r="C23" s="111"/>
      <c r="D23" s="111"/>
      <c r="E23" s="211">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1304312.0859999999</v>
      </c>
      <c r="F24" s="2"/>
      <c r="G24" s="111" t="s">
        <v>155</v>
      </c>
      <c r="H24" s="111"/>
      <c r="I24" s="182">
        <v>61.524155</v>
      </c>
      <c r="J24" s="182">
        <v>61.524155</v>
      </c>
      <c r="K24" s="182">
        <v>61.524155</v>
      </c>
      <c r="L24" s="186">
        <v>0</v>
      </c>
      <c r="M24" s="187">
        <v>0</v>
      </c>
      <c r="N24" s="195">
        <f>+IF(ISERROR(K24+M24-L24),"NA",K24+M24-L24)</f>
        <v>61.524155</v>
      </c>
      <c r="O24" s="2"/>
      <c r="P24" s="133" t="s">
        <v>156</v>
      </c>
      <c r="Q24" s="120"/>
      <c r="R24" s="120"/>
      <c r="S24" s="182">
        <v>782407.80299999996</v>
      </c>
      <c r="T24" s="182">
        <v>571928.55900000001</v>
      </c>
      <c r="U24" s="110"/>
      <c r="V24" s="2"/>
      <c r="W24" s="2"/>
      <c r="X24" s="2"/>
      <c r="Y24" s="2"/>
      <c r="Z24" s="2"/>
    </row>
    <row r="25" spans="1:26" ht="15" customHeight="1" x14ac:dyDescent="0.2">
      <c r="A25" s="24"/>
      <c r="B25" s="111"/>
      <c r="C25" s="111"/>
      <c r="D25" s="111"/>
      <c r="E25" s="111"/>
      <c r="F25" s="2"/>
      <c r="G25" s="111" t="s">
        <v>157</v>
      </c>
      <c r="H25" s="111"/>
      <c r="I25" s="213">
        <f>IF(ISERROR(I21/I24),"NA",I21/I24)</f>
        <v>943.80334033031534</v>
      </c>
      <c r="J25" s="213">
        <f>+IF(ISERROR(J21/J24),"NA",J21/J24)</f>
        <v>1785.5524387128894</v>
      </c>
      <c r="K25" s="213">
        <f>+IF(ISERROR(K21/K24),"NA",K21/K24)</f>
        <v>3527.3630982822961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571928.55900000001</v>
      </c>
      <c r="F26" s="2"/>
      <c r="G26" s="2"/>
      <c r="H26" s="2"/>
      <c r="I26" s="2"/>
      <c r="J26" s="2"/>
      <c r="K26" s="2"/>
      <c r="L26" s="2"/>
      <c r="M26" s="2"/>
      <c r="N26" s="2"/>
      <c r="O26" s="2"/>
      <c r="P26" s="124" t="s">
        <v>160</v>
      </c>
      <c r="Q26" s="111"/>
      <c r="R26" s="111"/>
      <c r="S26" s="185">
        <f>S22+SUM(S24:S25)</f>
        <v>1826192.1799999997</v>
      </c>
      <c r="T26" s="185">
        <f>T22+SUM(T24:T25)</f>
        <v>1397529.8689999999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22.981999999999999</v>
      </c>
      <c r="F28" s="2"/>
      <c r="G28" s="271" t="s">
        <v>163</v>
      </c>
      <c r="H28" s="269"/>
      <c r="I28" s="269"/>
      <c r="J28" s="269"/>
      <c r="K28" s="269"/>
      <c r="L28" s="269"/>
      <c r="M28" s="269"/>
      <c r="N28" s="269"/>
      <c r="O28" s="2"/>
      <c r="P28" s="111" t="s">
        <v>143</v>
      </c>
      <c r="Q28" s="136"/>
      <c r="R28" s="136"/>
      <c r="S28" s="182">
        <v>15.259</v>
      </c>
      <c r="T28" s="182">
        <v>22.981999999999999</v>
      </c>
      <c r="U28" s="110"/>
      <c r="V28" s="2"/>
      <c r="W28" s="2"/>
      <c r="X28" s="2"/>
      <c r="Y28" s="2"/>
      <c r="Z28" s="2"/>
    </row>
    <row r="29" spans="1:26" ht="15" customHeight="1" x14ac:dyDescent="0.2">
      <c r="A29" s="24"/>
      <c r="B29" s="111" t="s">
        <v>164</v>
      </c>
      <c r="C29" s="111"/>
      <c r="D29" s="111"/>
      <c r="E29" s="217">
        <f>-T8</f>
        <v>-60338.803999999996</v>
      </c>
      <c r="F29" s="2"/>
      <c r="G29" s="111" t="s">
        <v>165</v>
      </c>
      <c r="H29" s="111"/>
      <c r="I29" s="218">
        <f t="shared" ref="I29:N29" si="5">I12</f>
        <v>190910.61400000006</v>
      </c>
      <c r="J29" s="218">
        <f t="shared" si="5"/>
        <v>221990.69199999981</v>
      </c>
      <c r="K29" s="218">
        <f t="shared" si="5"/>
        <v>285679.58100000024</v>
      </c>
      <c r="L29" s="219">
        <f t="shared" si="5"/>
        <v>0</v>
      </c>
      <c r="M29" s="220">
        <f t="shared" si="5"/>
        <v>0</v>
      </c>
      <c r="N29" s="218">
        <f t="shared" si="5"/>
        <v>285679.58100000024</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1815924.8230000001</v>
      </c>
      <c r="F30" s="221"/>
      <c r="G30" s="111" t="s">
        <v>168</v>
      </c>
      <c r="H30" s="111"/>
      <c r="I30" s="223">
        <v>0</v>
      </c>
      <c r="J30" s="223">
        <v>0</v>
      </c>
      <c r="K30" s="223">
        <v>0</v>
      </c>
      <c r="L30" s="186">
        <v>0</v>
      </c>
      <c r="M30" s="187">
        <v>0</v>
      </c>
      <c r="N30" s="188">
        <f>K30+M30-L30</f>
        <v>0</v>
      </c>
      <c r="O30" s="2"/>
      <c r="P30" s="133" t="s">
        <v>169</v>
      </c>
      <c r="Q30" s="224"/>
      <c r="R30" s="224"/>
      <c r="S30" s="182">
        <v>1084580.5789999999</v>
      </c>
      <c r="T30" s="182">
        <v>1295742.236</v>
      </c>
      <c r="U30" s="2"/>
      <c r="V30" s="2"/>
      <c r="W30" s="2"/>
      <c r="X30" s="2"/>
      <c r="Y30" s="2"/>
      <c r="Z30" s="2"/>
    </row>
    <row r="31" spans="1:26" ht="15" customHeight="1" x14ac:dyDescent="0.2">
      <c r="A31" s="24"/>
      <c r="B31" s="2"/>
      <c r="C31" s="2"/>
      <c r="D31" s="2"/>
      <c r="E31" s="2"/>
      <c r="F31" s="221"/>
      <c r="G31" s="122" t="s">
        <v>170</v>
      </c>
      <c r="H31" s="111"/>
      <c r="I31" s="185">
        <f t="shared" ref="I31:N31" si="6">SUM(I29:I30)</f>
        <v>190910.61400000006</v>
      </c>
      <c r="J31" s="185">
        <f t="shared" si="6"/>
        <v>221990.69199999981</v>
      </c>
      <c r="K31" s="185">
        <f t="shared" si="6"/>
        <v>285679.58100000024</v>
      </c>
      <c r="L31" s="191">
        <f t="shared" si="6"/>
        <v>0</v>
      </c>
      <c r="M31" s="192">
        <f t="shared" si="6"/>
        <v>0</v>
      </c>
      <c r="N31" s="185">
        <f t="shared" si="6"/>
        <v>285679.58100000024</v>
      </c>
      <c r="O31" s="2"/>
      <c r="P31" s="124" t="s">
        <v>171</v>
      </c>
      <c r="Q31" s="224"/>
      <c r="R31" s="224"/>
      <c r="S31" s="202">
        <f>S26+SUM(S28:S30)</f>
        <v>2910788.0179999997</v>
      </c>
      <c r="T31" s="202">
        <f>T26+SUM(T28:T30)</f>
        <v>2693295.0870000003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2.5267121422046349E-2</v>
      </c>
      <c r="J32" s="203">
        <f t="shared" si="7"/>
        <v>3.0318869145407407E-2</v>
      </c>
      <c r="K32" s="203">
        <f t="shared" si="7"/>
        <v>3.9034781151066483E-2</v>
      </c>
      <c r="L32" s="209" t="str">
        <f t="shared" si="7"/>
        <v>NA</v>
      </c>
      <c r="M32" s="210" t="str">
        <f t="shared" si="7"/>
        <v>NA</v>
      </c>
      <c r="N32" s="203">
        <f t="shared" si="7"/>
        <v>3.9034781151066483E-2</v>
      </c>
      <c r="O32" s="2"/>
      <c r="P32" s="128" t="s">
        <v>174</v>
      </c>
      <c r="Q32" s="137"/>
      <c r="R32" s="137"/>
      <c r="S32" s="225">
        <f>S17-S31</f>
        <v>-576692.22399999946</v>
      </c>
      <c r="T32" s="225">
        <f>T17-T31</f>
        <v>-363901.18500000052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108456.31200000006</v>
      </c>
      <c r="J34" s="218">
        <f t="shared" si="8"/>
        <v>155697.63599999979</v>
      </c>
      <c r="K34" s="218">
        <f t="shared" si="8"/>
        <v>272038.16900000023</v>
      </c>
      <c r="L34" s="227">
        <f t="shared" si="8"/>
        <v>0</v>
      </c>
      <c r="M34" s="228">
        <f t="shared" si="8"/>
        <v>0</v>
      </c>
      <c r="N34" s="218">
        <f t="shared" si="8"/>
        <v>272038.16900000023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0.24812493705174571</v>
      </c>
      <c r="D35" s="229">
        <f>IF(ISERROR($E$30/D36),"NA",$E$30/D36)</f>
        <v>0.24996542057081686</v>
      </c>
      <c r="E35" s="229">
        <f>IF(ISERROR($E$30/E36),"NA",$E$30/E36)</f>
        <v>0.25148378436164409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61.524155</v>
      </c>
      <c r="U35" s="110"/>
      <c r="V35" s="2"/>
      <c r="W35" s="2"/>
      <c r="X35" s="2"/>
      <c r="Y35" s="2"/>
      <c r="Z35" s="2"/>
    </row>
    <row r="36" spans="1:26" ht="15" customHeight="1" x14ac:dyDescent="0.2">
      <c r="A36" s="24"/>
      <c r="B36" s="111" t="s">
        <v>181</v>
      </c>
      <c r="C36" s="218">
        <f>N10</f>
        <v>7318590.5640000002</v>
      </c>
      <c r="D36" s="180">
        <v>7264704.1292879013</v>
      </c>
      <c r="E36" s="180">
        <v>7220842.5986966426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6.3930494726265668</v>
      </c>
      <c r="D37" s="229">
        <f>IF(ISERROR($E$30/D38),"NA",$E$30/D38)</f>
        <v>6.4404703499103499</v>
      </c>
      <c r="E37" s="229">
        <f>IF(ISERROR($E$30/E38),"NA",$E$30/E38)</f>
        <v>6.47959166898268</v>
      </c>
      <c r="F37" s="2"/>
      <c r="G37" s="122" t="s">
        <v>185</v>
      </c>
      <c r="H37" s="111"/>
      <c r="I37" s="185">
        <f t="shared" ref="I37:N37" si="10">SUM(I34:I36)</f>
        <v>108456.31200000006</v>
      </c>
      <c r="J37" s="185">
        <f t="shared" si="10"/>
        <v>155697.63599999979</v>
      </c>
      <c r="K37" s="185">
        <f t="shared" si="10"/>
        <v>272038.16900000023</v>
      </c>
      <c r="L37" s="191">
        <f t="shared" si="10"/>
        <v>0</v>
      </c>
      <c r="M37" s="192">
        <f t="shared" si="10"/>
        <v>0</v>
      </c>
      <c r="N37" s="185">
        <f t="shared" si="10"/>
        <v>272038.16900000023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284046.73400000023</v>
      </c>
      <c r="D38" s="180">
        <v>281955.31138890772</v>
      </c>
      <c r="E38" s="180">
        <v>280252.97206499852</v>
      </c>
      <c r="F38" s="2"/>
      <c r="G38" s="128" t="s">
        <v>173</v>
      </c>
      <c r="H38" s="128"/>
      <c r="I38" s="203">
        <f t="shared" ref="I38:N38" si="11">IF(ISERROR(I37/I10),"NA",I37/I10)</f>
        <v>1.4354250645756884E-2</v>
      </c>
      <c r="J38" s="203">
        <f t="shared" si="11"/>
        <v>2.1264748578437114E-2</v>
      </c>
      <c r="K38" s="203">
        <f t="shared" si="11"/>
        <v>3.7170841382786257E-2</v>
      </c>
      <c r="L38" s="209" t="str">
        <f t="shared" si="11"/>
        <v>NA</v>
      </c>
      <c r="M38" s="210" t="str">
        <f t="shared" si="11"/>
        <v>NA</v>
      </c>
      <c r="N38" s="203">
        <f t="shared" si="11"/>
        <v>3.7170841382786257E-2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6.675257481974886</v>
      </c>
      <c r="D39" s="229">
        <f>IF(ISERROR($E$30/D40),"NA",$E$30/D40)</f>
        <v>6.7247716562739841</v>
      </c>
      <c r="E39" s="229">
        <f>IF(ISERROR($E$30/E40),"NA",$E$30/E40)</f>
        <v>6.7656199054484123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272038.16900000023</v>
      </c>
      <c r="D40" s="180">
        <v>270035.16488263267</v>
      </c>
      <c r="E40" s="180">
        <v>268404.79488621879</v>
      </c>
      <c r="F40" s="237"/>
      <c r="G40" s="111" t="s">
        <v>190</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191</v>
      </c>
      <c r="Q40" s="111"/>
      <c r="R40" s="111"/>
      <c r="S40" s="111"/>
      <c r="T40" s="238">
        <f>T35+SUM(T38:T39)</f>
        <v>61.524155</v>
      </c>
      <c r="U40" s="110"/>
      <c r="V40" s="2"/>
      <c r="W40" s="2"/>
      <c r="X40" s="2"/>
      <c r="Y40" s="2"/>
      <c r="Z40" s="2"/>
    </row>
    <row r="41" spans="1:26" ht="12.75" customHeight="1" x14ac:dyDescent="0.2">
      <c r="A41" s="24"/>
      <c r="B41" s="111" t="s">
        <v>192</v>
      </c>
      <c r="C41" s="229">
        <f>IF(ISERROR($E$17/N52),"NA",E17/N52)</f>
        <v>6.0101552942830487</v>
      </c>
      <c r="D41" s="229">
        <f>IF(ISERROR($E$17/D42),"NA",$E$17/D42)</f>
        <v>6.2229756513044503</v>
      </c>
      <c r="E41" s="229">
        <f>IF(ISERROR($E$17/E42),"NA",$E$17/E42)</f>
        <v>6.2607758433412668</v>
      </c>
      <c r="F41" s="2"/>
      <c r="G41" s="122" t="s">
        <v>193</v>
      </c>
      <c r="H41" s="111"/>
      <c r="I41" s="185">
        <f t="shared" ref="I41:N41" si="13">I40+I37</f>
        <v>123015.53900000006</v>
      </c>
      <c r="J41" s="185">
        <f t="shared" si="13"/>
        <v>168317.84099999978</v>
      </c>
      <c r="K41" s="185">
        <f t="shared" si="13"/>
        <v>284046.73400000023</v>
      </c>
      <c r="L41" s="191">
        <f t="shared" si="13"/>
        <v>0</v>
      </c>
      <c r="M41" s="192">
        <f t="shared" si="13"/>
        <v>0</v>
      </c>
      <c r="N41" s="185">
        <f t="shared" si="13"/>
        <v>284046.73400000023</v>
      </c>
      <c r="O41" s="2"/>
      <c r="P41" s="111"/>
      <c r="Q41" s="111"/>
      <c r="R41" s="111"/>
      <c r="S41" s="111"/>
      <c r="T41" s="111"/>
      <c r="U41" s="110"/>
      <c r="V41" s="2"/>
      <c r="W41" s="2"/>
      <c r="X41" s="2"/>
      <c r="Y41" s="2"/>
      <c r="Z41" s="2"/>
    </row>
    <row r="42" spans="1:26" ht="15" customHeight="1" x14ac:dyDescent="0.2">
      <c r="A42" s="24"/>
      <c r="B42" s="111" t="s">
        <v>181</v>
      </c>
      <c r="C42" s="213">
        <f>N52</f>
        <v>3527.3630982822961</v>
      </c>
      <c r="D42" s="201">
        <v>3406.7303470094871</v>
      </c>
      <c r="E42" s="201">
        <v>3386.1618001461511</v>
      </c>
      <c r="F42" s="2"/>
      <c r="G42" s="128" t="s">
        <v>173</v>
      </c>
      <c r="H42" s="128"/>
      <c r="I42" s="203">
        <f t="shared" ref="I42:N42" si="14">IF(ISERROR(I41/I10),"NA",I41/I10)</f>
        <v>1.6281172091937638E-2</v>
      </c>
      <c r="J42" s="203">
        <f t="shared" si="14"/>
        <v>2.2988380954803673E-2</v>
      </c>
      <c r="K42" s="203">
        <f t="shared" si="14"/>
        <v>3.8811671662194139E-2</v>
      </c>
      <c r="L42" s="209" t="str">
        <f t="shared" si="14"/>
        <v>NA</v>
      </c>
      <c r="M42" s="210" t="str">
        <f t="shared" si="14"/>
        <v>NA</v>
      </c>
      <c r="N42" s="203">
        <f t="shared" si="14"/>
        <v>3.8811671662194139E-2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58066.703000000074</v>
      </c>
      <c r="J44" s="218">
        <f t="shared" si="15"/>
        <v>109854.60499999981</v>
      </c>
      <c r="K44" s="218">
        <f t="shared" si="15"/>
        <v>217018.03400000022</v>
      </c>
      <c r="L44" s="227">
        <f t="shared" si="15"/>
        <v>0</v>
      </c>
      <c r="M44" s="228">
        <f t="shared" si="15"/>
        <v>0</v>
      </c>
      <c r="N44" s="218">
        <f t="shared" si="15"/>
        <v>217018.03400000022</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0.15375469854883864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0.18234336337275348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9.3071089740432947E-2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58066.703000000074</v>
      </c>
      <c r="J49" s="202">
        <f t="shared" si="19"/>
        <v>109854.60499999981</v>
      </c>
      <c r="K49" s="202">
        <f t="shared" si="19"/>
        <v>217018.03400000022</v>
      </c>
      <c r="L49" s="207">
        <f t="shared" si="19"/>
        <v>0</v>
      </c>
      <c r="M49" s="208">
        <f t="shared" si="19"/>
        <v>0</v>
      </c>
      <c r="N49" s="202">
        <f t="shared" si="19"/>
        <v>217018.03400000022</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7.6851590623395333E-3</v>
      </c>
      <c r="J50" s="203">
        <f t="shared" si="20"/>
        <v>1.5003635350690358E-2</v>
      </c>
      <c r="K50" s="203">
        <f t="shared" si="20"/>
        <v>2.9652981964520268E-2</v>
      </c>
      <c r="L50" s="209" t="str">
        <f t="shared" si="20"/>
        <v>NA</v>
      </c>
      <c r="M50" s="210" t="str">
        <f t="shared" si="20"/>
        <v>NA</v>
      </c>
      <c r="N50" s="203">
        <f t="shared" si="20"/>
        <v>2.9652981964520268E-2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2.0135016197721871</v>
      </c>
      <c r="F52" s="2"/>
      <c r="G52" s="111" t="s">
        <v>219</v>
      </c>
      <c r="H52" s="111"/>
      <c r="I52" s="213">
        <f t="shared" ref="I52:N52" si="21">IF(ISERROR(I49/I24),0,I49/I24)</f>
        <v>943.80334033031534</v>
      </c>
      <c r="J52" s="213">
        <f t="shared" si="21"/>
        <v>1785.5524387128894</v>
      </c>
      <c r="K52" s="213">
        <f t="shared" si="21"/>
        <v>3527.3630982822961</v>
      </c>
      <c r="L52" s="214">
        <f t="shared" si="21"/>
        <v>0</v>
      </c>
      <c r="M52" s="215">
        <f t="shared" si="21"/>
        <v>0</v>
      </c>
      <c r="N52" s="213">
        <f t="shared" si="21"/>
        <v>3527.3630982822961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1.8010759982897731</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15.828911710102185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13.212052847606882</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15.159717199490338</v>
      </c>
      <c r="F56" s="2"/>
      <c r="G56" s="111" t="s">
        <v>190</v>
      </c>
      <c r="H56" s="111"/>
      <c r="I56" s="182">
        <v>14559.227000000001</v>
      </c>
      <c r="J56" s="182">
        <v>12620.205</v>
      </c>
      <c r="K56" s="182">
        <v>12008.565000000001</v>
      </c>
      <c r="L56" s="252">
        <v>0</v>
      </c>
      <c r="M56" s="253">
        <v>0</v>
      </c>
      <c r="N56" s="195">
        <f>K56+M56-L56</f>
        <v>12008.565000000001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1.9269214461807532E-3</v>
      </c>
      <c r="J57" s="255">
        <f t="shared" si="22"/>
        <v>1.7236323763665578E-3</v>
      </c>
      <c r="K57" s="255">
        <f t="shared" si="22"/>
        <v>1.6408302794078808E-3</v>
      </c>
      <c r="L57" s="256" t="str">
        <f t="shared" si="22"/>
        <v>NA</v>
      </c>
      <c r="M57" s="257" t="str">
        <f t="shared" si="22"/>
        <v>NA</v>
      </c>
      <c r="N57" s="255">
        <f t="shared" si="22"/>
        <v>1.6408302794078808E-3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376025.40399999998</v>
      </c>
      <c r="J58" s="182">
        <v>77014.824999999997</v>
      </c>
      <c r="K58" s="182">
        <v>46959.021999999997</v>
      </c>
      <c r="L58" s="186">
        <v>0</v>
      </c>
      <c r="M58" s="187">
        <v>0</v>
      </c>
      <c r="N58" s="195">
        <f>K58+M58-L58</f>
        <v>46959.021999999997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4.9767162451439341E-2</v>
      </c>
      <c r="J59" s="255">
        <f t="shared" si="23"/>
        <v>1.0518469852922721E-2</v>
      </c>
      <c r="K59" s="255">
        <f t="shared" si="23"/>
        <v>6.4164023918745344E-3</v>
      </c>
      <c r="L59" s="258" t="str">
        <f t="shared" si="23"/>
        <v>NA</v>
      </c>
      <c r="M59" s="259" t="str">
        <f t="shared" si="23"/>
        <v>NA</v>
      </c>
      <c r="N59" s="255">
        <f t="shared" si="23"/>
        <v>6.4164023918745344E-3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-4.4732668913161078E-4</v>
      </c>
      <c r="D61" s="203">
        <f>IF(ISERROR(K41/J41-1),0,K41/J41-1)</f>
        <v>0.68756165307515205</v>
      </c>
      <c r="E61" s="203">
        <f>IF(ISERROR(K52/J52-1),0,K52/J52-1)</f>
        <v>0.97550238335480421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-1.5815384053424197E-2</v>
      </c>
      <c r="D62" s="203">
        <f>IF(ISERROR((K41/I41)^(1/2)-1),0,(K41/I41)^(1/2)-1)</f>
        <v>0.5195497139038705</v>
      </c>
      <c r="E62" s="203">
        <f>IF(ISERROR((K52/I52)^(1/2)-1),0,(K52/I52)^(1/2)-1)</f>
        <v>0.93323357285446362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-7.3629525030632914E-3</v>
      </c>
      <c r="D64" s="203">
        <f>IF(ISERROR(D38/K41-1),0,D38/K41-1)</f>
        <v>-7.3629525030641796E-3</v>
      </c>
      <c r="E64" s="203">
        <f>IF(ISERROR(D42/K52-1),0,D42/K52-1)</f>
        <v>-3.419913060029256E-2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-6.700507821802093E-3</v>
      </c>
      <c r="D65" s="203">
        <f>IF(ISERROR((E38/K41)^(1/2)-1),0,(E38/K41)^(1/2)-1)</f>
        <v>-6.7005078218024261E-3</v>
      </c>
      <c r="E65" s="203">
        <f>IF(ISERROR((E42/K52)^(1/2)-1),0,(E42/K52)^(1/2)-1)</f>
        <v>-2.0219550236847517E-2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143281.86199999999</v>
      </c>
      <c r="T8" s="180">
        <v>135320.97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1546619.777</v>
      </c>
      <c r="T9" s="182">
        <v>1432902.1869999999</v>
      </c>
      <c r="U9" s="110"/>
      <c r="V9" s="2"/>
      <c r="W9" s="2"/>
      <c r="X9" s="2"/>
      <c r="Y9" s="2"/>
      <c r="Z9" s="2"/>
    </row>
    <row r="10" spans="1:26" ht="15" customHeight="1" x14ac:dyDescent="0.2">
      <c r="A10" s="24"/>
      <c r="B10" s="111" t="s">
        <v>118</v>
      </c>
      <c r="C10" s="111"/>
      <c r="D10" s="121"/>
      <c r="E10" s="150">
        <v>46022</v>
      </c>
      <c r="F10" s="2"/>
      <c r="G10" s="122" t="s">
        <v>34</v>
      </c>
      <c r="H10" s="122"/>
      <c r="I10" s="180">
        <v>13701576.035</v>
      </c>
      <c r="J10" s="180">
        <v>8929794.8120000008</v>
      </c>
      <c r="K10" s="180">
        <v>7010299.4939999999</v>
      </c>
      <c r="L10" s="183">
        <v>0</v>
      </c>
      <c r="M10" s="184">
        <v>0</v>
      </c>
      <c r="N10" s="185">
        <f>K10+M10-L10</f>
        <v>7010299.4939999999</v>
      </c>
      <c r="O10" s="2"/>
      <c r="P10" s="111" t="s">
        <v>119</v>
      </c>
      <c r="Q10" s="123"/>
      <c r="R10" s="123"/>
      <c r="S10" s="182">
        <v>627737.11899999995</v>
      </c>
      <c r="T10" s="182">
        <v>411191.50199999998</v>
      </c>
      <c r="U10" s="110"/>
      <c r="V10" s="2"/>
      <c r="W10" s="2"/>
      <c r="X10" s="2"/>
      <c r="Y10" s="2"/>
      <c r="Z10" s="2"/>
    </row>
    <row r="11" spans="1:26" ht="15" customHeight="1" x14ac:dyDescent="0.2">
      <c r="A11" s="24"/>
      <c r="B11" s="111" t="s">
        <v>120</v>
      </c>
      <c r="C11" s="111"/>
      <c r="D11" s="117"/>
      <c r="E11" s="149" t="s">
        <v>121</v>
      </c>
      <c r="F11" s="2"/>
      <c r="G11" s="111" t="s">
        <v>122</v>
      </c>
      <c r="H11" s="111"/>
      <c r="I11" s="182">
        <v>13640006.592</v>
      </c>
      <c r="J11" s="182">
        <v>8924084.7139999997</v>
      </c>
      <c r="K11" s="182">
        <v>7008942.0410000002</v>
      </c>
      <c r="L11" s="186">
        <v>0</v>
      </c>
      <c r="M11" s="187">
        <v>0</v>
      </c>
      <c r="N11" s="188">
        <f>K11+M11-L11</f>
        <v>7008942.0410000002</v>
      </c>
      <c r="O11" s="189"/>
      <c r="P11" s="111" t="s">
        <v>123</v>
      </c>
      <c r="Q11" s="190"/>
      <c r="R11" s="190"/>
      <c r="S11" s="182">
        <v>769020.6109999998</v>
      </c>
      <c r="T11" s="182">
        <v>712769.12600000005</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61569.44299999997</v>
      </c>
      <c r="J12" s="185">
        <f t="shared" si="0"/>
        <v>5710.0980000011623</v>
      </c>
      <c r="K12" s="185">
        <f t="shared" si="0"/>
        <v>1357.4529999997467</v>
      </c>
      <c r="L12" s="191">
        <f t="shared" si="0"/>
        <v>0</v>
      </c>
      <c r="M12" s="192">
        <f t="shared" si="0"/>
        <v>0</v>
      </c>
      <c r="N12" s="185">
        <f t="shared" si="0"/>
        <v>1357.4529999997467</v>
      </c>
      <c r="O12" s="2"/>
      <c r="P12" s="124" t="s">
        <v>126</v>
      </c>
      <c r="Q12" s="120"/>
      <c r="R12" s="120"/>
      <c r="S12" s="185">
        <f>SUM(S8:S11)</f>
        <v>3086659.3689999999</v>
      </c>
      <c r="T12" s="185">
        <f>SUM(T8:T11)</f>
        <v>2692183.7850000001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746065.51199999999</v>
      </c>
      <c r="J13" s="182">
        <v>-3555.5180000000109</v>
      </c>
      <c r="K13" s="182">
        <v>-17819.337</v>
      </c>
      <c r="L13" s="186">
        <v>0</v>
      </c>
      <c r="M13" s="187">
        <v>0</v>
      </c>
      <c r="N13" s="195">
        <f>K13+M13-L13</f>
        <v>-17819.337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-37277.004999999888</v>
      </c>
      <c r="J14" s="197">
        <v>-214820.32500000001</v>
      </c>
      <c r="K14" s="197">
        <v>-377805.08199999999</v>
      </c>
      <c r="L14" s="198">
        <v>0</v>
      </c>
      <c r="M14" s="199">
        <v>0</v>
      </c>
      <c r="N14" s="200">
        <f>K14+M14-L14</f>
        <v>-377805.08199999999</v>
      </c>
      <c r="O14" s="2"/>
      <c r="P14" s="111" t="s">
        <v>131</v>
      </c>
      <c r="Q14" s="123"/>
      <c r="R14" s="123"/>
      <c r="S14" s="182">
        <v>1206287.53</v>
      </c>
      <c r="T14" s="182">
        <v>865924.04700000002</v>
      </c>
      <c r="U14" s="110"/>
      <c r="V14" s="2"/>
      <c r="W14" s="2"/>
      <c r="X14" s="2"/>
      <c r="Y14" s="2"/>
      <c r="Z14" s="2"/>
    </row>
    <row r="15" spans="1:26" ht="12.75" customHeight="1" x14ac:dyDescent="0.2">
      <c r="A15" s="24"/>
      <c r="B15" s="2"/>
      <c r="C15" s="2"/>
      <c r="D15" s="2"/>
      <c r="E15" s="2"/>
      <c r="F15" s="2"/>
      <c r="G15" s="122" t="s">
        <v>132</v>
      </c>
      <c r="H15" s="125"/>
      <c r="I15" s="185">
        <f t="shared" ref="I15:N15" si="1">I12-SUM(I13:I14)</f>
        <v>-647219.06400000013</v>
      </c>
      <c r="J15" s="185">
        <f t="shared" si="1"/>
        <v>224085.94100000118</v>
      </c>
      <c r="K15" s="185">
        <f t="shared" si="1"/>
        <v>396981.87199999974</v>
      </c>
      <c r="L15" s="191">
        <f t="shared" si="1"/>
        <v>0</v>
      </c>
      <c r="M15" s="192">
        <f t="shared" si="1"/>
        <v>0</v>
      </c>
      <c r="N15" s="185">
        <f t="shared" si="1"/>
        <v>396981.87199999974</v>
      </c>
      <c r="O15" s="2"/>
      <c r="P15" s="111" t="s">
        <v>133</v>
      </c>
      <c r="Q15" s="120"/>
      <c r="R15" s="120"/>
      <c r="S15" s="182">
        <v>103782.776</v>
      </c>
      <c r="T15" s="182">
        <v>103252.848</v>
      </c>
      <c r="U15" s="110"/>
      <c r="V15" s="2"/>
      <c r="W15" s="2"/>
      <c r="X15" s="2"/>
      <c r="Y15" s="2"/>
      <c r="Z15" s="2"/>
    </row>
    <row r="16" spans="1:26" ht="15" customHeight="1" x14ac:dyDescent="0.2">
      <c r="A16" s="24"/>
      <c r="B16" s="271" t="s">
        <v>134</v>
      </c>
      <c r="C16" s="269"/>
      <c r="D16" s="269"/>
      <c r="E16" s="269"/>
      <c r="F16" s="2"/>
      <c r="G16" s="111" t="s">
        <v>135</v>
      </c>
      <c r="H16" s="125"/>
      <c r="I16" s="182">
        <v>265581.76899999997</v>
      </c>
      <c r="J16" s="182">
        <v>176410.86600000001</v>
      </c>
      <c r="K16" s="182">
        <v>148362.86199999999</v>
      </c>
      <c r="L16" s="186">
        <v>0</v>
      </c>
      <c r="M16" s="187">
        <v>0</v>
      </c>
      <c r="N16" s="188">
        <f>K16+M16-L16</f>
        <v>148362.86199999999</v>
      </c>
      <c r="O16" s="2"/>
      <c r="P16" s="111" t="s">
        <v>136</v>
      </c>
      <c r="Q16" s="123"/>
      <c r="R16" s="123"/>
      <c r="S16" s="182">
        <v>381452.87300000043</v>
      </c>
      <c r="T16" s="182">
        <v>792349.196</v>
      </c>
      <c r="U16" s="110"/>
      <c r="V16" s="2"/>
      <c r="W16" s="2"/>
      <c r="X16" s="2"/>
      <c r="Y16" s="2"/>
      <c r="Z16" s="2"/>
    </row>
    <row r="17" spans="1:26" ht="15" customHeight="1" x14ac:dyDescent="0.2">
      <c r="A17" s="24"/>
      <c r="B17" s="111" t="s">
        <v>137</v>
      </c>
      <c r="C17" s="111"/>
      <c r="D17" s="126">
        <v>0</v>
      </c>
      <c r="E17" s="201">
        <v>10700</v>
      </c>
      <c r="F17" s="2"/>
      <c r="G17" s="122" t="s">
        <v>138</v>
      </c>
      <c r="H17" s="111"/>
      <c r="I17" s="185">
        <f t="shared" ref="I17:N17" si="2">I15-SUM(I16)</f>
        <v>-912800.8330000001</v>
      </c>
      <c r="J17" s="185">
        <f t="shared" si="2"/>
        <v>47675.075000001176</v>
      </c>
      <c r="K17" s="185">
        <f t="shared" si="2"/>
        <v>248619.00999999975</v>
      </c>
      <c r="L17" s="191">
        <f t="shared" si="2"/>
        <v>0</v>
      </c>
      <c r="M17" s="192">
        <f t="shared" si="2"/>
        <v>0</v>
      </c>
      <c r="N17" s="185">
        <f t="shared" si="2"/>
        <v>248619.00999999975</v>
      </c>
      <c r="O17" s="2"/>
      <c r="P17" s="124" t="s">
        <v>139</v>
      </c>
      <c r="Q17" s="120"/>
      <c r="R17" s="120"/>
      <c r="S17" s="202">
        <f>SUM(S12:S16)</f>
        <v>4778182.5480000004</v>
      </c>
      <c r="T17" s="202">
        <f>SUM(T12:T16)</f>
        <v>4453709.8760000002</v>
      </c>
      <c r="U17" s="110"/>
      <c r="V17" s="2"/>
      <c r="W17" s="2"/>
      <c r="X17" s="2"/>
      <c r="Y17" s="2"/>
      <c r="Z17" s="2"/>
    </row>
    <row r="18" spans="1:26" ht="12.75" customHeight="1" x14ac:dyDescent="0.2">
      <c r="A18" s="127"/>
      <c r="B18" s="128" t="s">
        <v>140</v>
      </c>
      <c r="C18" s="128"/>
      <c r="D18" s="129"/>
      <c r="E18" s="203">
        <f>+IF(ISERROR(E17/E19),"NA",E17/E19)</f>
        <v>0.63313609467455623</v>
      </c>
      <c r="F18" s="2"/>
      <c r="G18" s="111" t="s">
        <v>141</v>
      </c>
      <c r="H18" s="111"/>
      <c r="I18" s="182">
        <v>12498.209000000001</v>
      </c>
      <c r="J18" s="182">
        <v>35600.902000000002</v>
      </c>
      <c r="K18" s="182">
        <v>51064.892</v>
      </c>
      <c r="L18" s="186">
        <v>0</v>
      </c>
      <c r="M18" s="187">
        <v>0</v>
      </c>
      <c r="N18" s="195">
        <f>K18+M18-L18</f>
        <v>51064.892</v>
      </c>
      <c r="O18" s="2"/>
      <c r="P18" s="111"/>
      <c r="Q18" s="111"/>
      <c r="R18" s="111"/>
      <c r="S18" s="111"/>
      <c r="T18" s="111"/>
      <c r="U18" s="110"/>
      <c r="V18" s="2"/>
      <c r="W18" s="2"/>
      <c r="X18" s="2"/>
      <c r="Y18" s="2"/>
      <c r="Z18" s="2"/>
    </row>
    <row r="19" spans="1:26" ht="15" customHeight="1" x14ac:dyDescent="0.2">
      <c r="A19" s="24"/>
      <c r="B19" s="111" t="s">
        <v>142</v>
      </c>
      <c r="C19" s="111"/>
      <c r="D19" s="204">
        <v>0</v>
      </c>
      <c r="E19" s="205">
        <v>16900</v>
      </c>
      <c r="F19" s="2"/>
      <c r="G19" s="111" t="s">
        <v>143</v>
      </c>
      <c r="H19" s="111"/>
      <c r="I19" s="197">
        <v>-40009.963000000003</v>
      </c>
      <c r="J19" s="197">
        <v>-17165.616000000002</v>
      </c>
      <c r="K19" s="197">
        <v>17436.973000000002</v>
      </c>
      <c r="L19" s="198">
        <v>0</v>
      </c>
      <c r="M19" s="199">
        <v>0</v>
      </c>
      <c r="N19" s="206">
        <f>K19+M19-L19</f>
        <v>17436.973000000002</v>
      </c>
      <c r="O19" s="2"/>
      <c r="P19" s="111" t="s">
        <v>144</v>
      </c>
      <c r="Q19" s="123"/>
      <c r="R19" s="123"/>
      <c r="S19" s="182">
        <v>1420521.5379999999</v>
      </c>
      <c r="T19" s="182">
        <v>1196979.0900000001</v>
      </c>
      <c r="U19" s="110"/>
      <c r="V19" s="2"/>
      <c r="W19" s="2"/>
      <c r="X19" s="2"/>
      <c r="Y19" s="2"/>
      <c r="Z19" s="2"/>
    </row>
    <row r="20" spans="1:26" ht="15" customHeight="1" x14ac:dyDescent="0.2">
      <c r="A20" s="24"/>
      <c r="B20" s="111" t="s">
        <v>145</v>
      </c>
      <c r="C20" s="111"/>
      <c r="D20" s="204">
        <v>0</v>
      </c>
      <c r="E20" s="205">
        <v>10150</v>
      </c>
      <c r="F20" s="2"/>
      <c r="G20" s="111" t="s">
        <v>146</v>
      </c>
      <c r="H20" s="111"/>
      <c r="I20" s="197">
        <v>0</v>
      </c>
      <c r="J20" s="197">
        <v>0</v>
      </c>
      <c r="K20" s="197">
        <v>0</v>
      </c>
      <c r="L20" s="198">
        <v>0</v>
      </c>
      <c r="M20" s="199">
        <v>0</v>
      </c>
      <c r="N20" s="200">
        <f>K20+M20-L20</f>
        <v>0</v>
      </c>
      <c r="O20" s="2"/>
      <c r="P20" s="111" t="s">
        <v>147</v>
      </c>
      <c r="Q20" s="190"/>
      <c r="R20" s="190"/>
      <c r="S20" s="182">
        <v>29913.393</v>
      </c>
      <c r="T20" s="182">
        <v>102372.05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-885289.07900000014</v>
      </c>
      <c r="J21" s="202">
        <f t="shared" si="3"/>
        <v>29239.789000001176</v>
      </c>
      <c r="K21" s="202">
        <f t="shared" si="3"/>
        <v>180117.14499999973</v>
      </c>
      <c r="L21" s="207">
        <f t="shared" si="3"/>
        <v>0</v>
      </c>
      <c r="M21" s="208">
        <f t="shared" si="3"/>
        <v>0</v>
      </c>
      <c r="N21" s="202">
        <f t="shared" si="3"/>
        <v>180117.14499999973</v>
      </c>
      <c r="O21" s="2"/>
      <c r="P21" s="111" t="s">
        <v>150</v>
      </c>
      <c r="Q21" s="120"/>
      <c r="R21" s="120"/>
      <c r="S21" s="182">
        <v>2258849.0070000002</v>
      </c>
      <c r="T21" s="182">
        <v>2080627.328</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-1.3692153368137866E-2</v>
      </c>
      <c r="J22" s="203">
        <f t="shared" si="4"/>
        <v>0.74674034597741323</v>
      </c>
      <c r="K22" s="203">
        <f t="shared" si="4"/>
        <v>0.20539415710809905</v>
      </c>
      <c r="L22" s="209" t="str">
        <f t="shared" si="4"/>
        <v>NA</v>
      </c>
      <c r="M22" s="210" t="str">
        <f t="shared" si="4"/>
        <v>NA</v>
      </c>
      <c r="N22" s="203">
        <f t="shared" si="4"/>
        <v>0.20539415710809905</v>
      </c>
      <c r="O22" s="2"/>
      <c r="P22" s="124" t="s">
        <v>152</v>
      </c>
      <c r="Q22" s="123"/>
      <c r="R22" s="123"/>
      <c r="S22" s="185">
        <f>SUM(S19:S21)</f>
        <v>3709283.9380000001</v>
      </c>
      <c r="T22" s="185">
        <f>SUM(T19:T21)</f>
        <v>3379978.4680000003</v>
      </c>
      <c r="U22" s="110"/>
      <c r="V22" s="2"/>
      <c r="W22" s="2"/>
      <c r="X22" s="2"/>
      <c r="Y22" s="2"/>
      <c r="Z22" s="2"/>
    </row>
    <row r="23" spans="1:26" ht="15" customHeight="1" x14ac:dyDescent="0.2">
      <c r="A23" s="24"/>
      <c r="B23" s="111" t="s">
        <v>153</v>
      </c>
      <c r="C23" s="111"/>
      <c r="D23" s="111"/>
      <c r="E23" s="211">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787593.15590000001</v>
      </c>
      <c r="F24" s="2"/>
      <c r="G24" s="111" t="s">
        <v>155</v>
      </c>
      <c r="H24" s="111"/>
      <c r="I24" s="182">
        <v>73.606836999999999</v>
      </c>
      <c r="J24" s="182">
        <v>73.606836999999999</v>
      </c>
      <c r="K24" s="182">
        <v>73.606836999999999</v>
      </c>
      <c r="L24" s="186">
        <v>0</v>
      </c>
      <c r="M24" s="187">
        <v>0</v>
      </c>
      <c r="N24" s="195">
        <f>+IF(ISERROR(K24+M24-L24),"NA",K24+M24-L24)</f>
        <v>73.606836999999999</v>
      </c>
      <c r="O24" s="2"/>
      <c r="P24" s="133" t="s">
        <v>156</v>
      </c>
      <c r="Q24" s="120"/>
      <c r="R24" s="120"/>
      <c r="S24" s="182">
        <v>2390555.298</v>
      </c>
      <c r="T24" s="182">
        <v>2049199.9069999999</v>
      </c>
      <c r="U24" s="110"/>
      <c r="V24" s="2"/>
      <c r="W24" s="2"/>
      <c r="X24" s="2"/>
      <c r="Y24" s="2"/>
      <c r="Z24" s="2"/>
    </row>
    <row r="25" spans="1:26" ht="15" customHeight="1" x14ac:dyDescent="0.2">
      <c r="A25" s="24"/>
      <c r="B25" s="111"/>
      <c r="C25" s="111"/>
      <c r="D25" s="111"/>
      <c r="E25" s="111"/>
      <c r="F25" s="2"/>
      <c r="G25" s="111" t="s">
        <v>157</v>
      </c>
      <c r="H25" s="111"/>
      <c r="I25" s="213">
        <f>IF(ISERROR(I21/I24),"NA",I21/I24)</f>
        <v>-12027.266964344632</v>
      </c>
      <c r="J25" s="213">
        <f>+IF(ISERROR(J21/J24),"NA",J21/J24)</f>
        <v>397.24284036279369</v>
      </c>
      <c r="K25" s="213">
        <f>+IF(ISERROR(K21/K24),"NA",K21/K24)</f>
        <v>2447.0165047303926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2049199.9069999999</v>
      </c>
      <c r="F26" s="2"/>
      <c r="G26" s="2"/>
      <c r="H26" s="2"/>
      <c r="I26" s="2"/>
      <c r="J26" s="2"/>
      <c r="K26" s="2"/>
      <c r="L26" s="2"/>
      <c r="M26" s="2"/>
      <c r="N26" s="2"/>
      <c r="O26" s="2"/>
      <c r="P26" s="124" t="s">
        <v>160</v>
      </c>
      <c r="Q26" s="111"/>
      <c r="R26" s="111"/>
      <c r="S26" s="185">
        <f>S22+SUM(S24:S25)</f>
        <v>6099839.2359999996</v>
      </c>
      <c r="T26" s="185">
        <f>T22+SUM(T24:T25)</f>
        <v>5429178.375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17436.973000000002</v>
      </c>
      <c r="F28" s="2"/>
      <c r="G28" s="271" t="s">
        <v>163</v>
      </c>
      <c r="H28" s="269"/>
      <c r="I28" s="269"/>
      <c r="J28" s="269"/>
      <c r="K28" s="269"/>
      <c r="L28" s="269"/>
      <c r="M28" s="269"/>
      <c r="N28" s="269"/>
      <c r="O28" s="2"/>
      <c r="P28" s="111" t="s">
        <v>143</v>
      </c>
      <c r="Q28" s="136"/>
      <c r="R28" s="136"/>
      <c r="S28" s="182">
        <v>-17165.616000000002</v>
      </c>
      <c r="T28" s="182">
        <v>17436.973000000002</v>
      </c>
      <c r="U28" s="110"/>
      <c r="V28" s="2"/>
      <c r="W28" s="2"/>
      <c r="X28" s="2"/>
      <c r="Y28" s="2"/>
      <c r="Z28" s="2"/>
    </row>
    <row r="29" spans="1:26" ht="15" customHeight="1" x14ac:dyDescent="0.2">
      <c r="A29" s="24"/>
      <c r="B29" s="111" t="s">
        <v>164</v>
      </c>
      <c r="C29" s="111"/>
      <c r="D29" s="111"/>
      <c r="E29" s="217">
        <f>-T8</f>
        <v>-135320.97</v>
      </c>
      <c r="F29" s="2"/>
      <c r="G29" s="111" t="s">
        <v>165</v>
      </c>
      <c r="H29" s="111"/>
      <c r="I29" s="218">
        <f t="shared" ref="I29:N29" si="5">I12</f>
        <v>61569.44299999997</v>
      </c>
      <c r="J29" s="218">
        <f t="shared" si="5"/>
        <v>5710.0980000011623</v>
      </c>
      <c r="K29" s="218">
        <f t="shared" si="5"/>
        <v>1357.4529999997467</v>
      </c>
      <c r="L29" s="219">
        <f t="shared" si="5"/>
        <v>0</v>
      </c>
      <c r="M29" s="220">
        <f t="shared" si="5"/>
        <v>0</v>
      </c>
      <c r="N29" s="218">
        <f t="shared" si="5"/>
        <v>1357.4529999997467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2718909.0658999998</v>
      </c>
      <c r="F30" s="221"/>
      <c r="G30" s="111" t="s">
        <v>168</v>
      </c>
      <c r="H30" s="111"/>
      <c r="I30" s="223">
        <v>0</v>
      </c>
      <c r="J30" s="223">
        <v>0</v>
      </c>
      <c r="K30" s="223">
        <v>0</v>
      </c>
      <c r="L30" s="186">
        <v>0</v>
      </c>
      <c r="M30" s="187">
        <v>0</v>
      </c>
      <c r="N30" s="188">
        <f>K30+M30-L30</f>
        <v>0</v>
      </c>
      <c r="O30" s="2"/>
      <c r="P30" s="133" t="s">
        <v>169</v>
      </c>
      <c r="Q30" s="224"/>
      <c r="R30" s="224"/>
      <c r="S30" s="182">
        <v>809844.01300000004</v>
      </c>
      <c r="T30" s="182">
        <v>1007398.1310000001</v>
      </c>
      <c r="U30" s="2"/>
      <c r="V30" s="2"/>
      <c r="W30" s="2"/>
      <c r="X30" s="2"/>
      <c r="Y30" s="2"/>
      <c r="Z30" s="2"/>
    </row>
    <row r="31" spans="1:26" ht="15" customHeight="1" x14ac:dyDescent="0.2">
      <c r="A31" s="24"/>
      <c r="B31" s="2"/>
      <c r="C31" s="2"/>
      <c r="D31" s="2"/>
      <c r="E31" s="2"/>
      <c r="F31" s="221"/>
      <c r="G31" s="122" t="s">
        <v>170</v>
      </c>
      <c r="H31" s="111"/>
      <c r="I31" s="185">
        <f t="shared" ref="I31:N31" si="6">SUM(I29:I30)</f>
        <v>61569.44299999997</v>
      </c>
      <c r="J31" s="185">
        <f t="shared" si="6"/>
        <v>5710.0980000011623</v>
      </c>
      <c r="K31" s="185">
        <f t="shared" si="6"/>
        <v>1357.4529999997467</v>
      </c>
      <c r="L31" s="191">
        <f t="shared" si="6"/>
        <v>0</v>
      </c>
      <c r="M31" s="192">
        <f t="shared" si="6"/>
        <v>0</v>
      </c>
      <c r="N31" s="185">
        <f t="shared" si="6"/>
        <v>1357.4529999997467</v>
      </c>
      <c r="O31" s="2"/>
      <c r="P31" s="124" t="s">
        <v>171</v>
      </c>
      <c r="Q31" s="224"/>
      <c r="R31" s="224"/>
      <c r="S31" s="202">
        <f>S26+SUM(S28:S30)</f>
        <v>6892517.6329999994</v>
      </c>
      <c r="T31" s="202">
        <f>T26+SUM(T28:T30)</f>
        <v>6454013.4790000003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4.4936029871836545E-3</v>
      </c>
      <c r="J32" s="203">
        <f t="shared" si="7"/>
        <v>6.394433601461751E-4</v>
      </c>
      <c r="K32" s="203">
        <f t="shared" si="7"/>
        <v>1.936369482019375E-4</v>
      </c>
      <c r="L32" s="209" t="str">
        <f t="shared" si="7"/>
        <v>NA</v>
      </c>
      <c r="M32" s="210" t="str">
        <f t="shared" si="7"/>
        <v>NA</v>
      </c>
      <c r="N32" s="203">
        <f t="shared" si="7"/>
        <v>1.936369482019375E-4</v>
      </c>
      <c r="O32" s="2"/>
      <c r="P32" s="128" t="s">
        <v>174</v>
      </c>
      <c r="Q32" s="137"/>
      <c r="R32" s="137"/>
      <c r="S32" s="225">
        <f>S17-S31</f>
        <v>-2114335.084999999</v>
      </c>
      <c r="T32" s="225">
        <f>T17-T31</f>
        <v>-2000303.6030000001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-647219.06400000013</v>
      </c>
      <c r="J34" s="218">
        <f t="shared" si="8"/>
        <v>224085.94100000118</v>
      </c>
      <c r="K34" s="218">
        <f t="shared" si="8"/>
        <v>396981.87199999974</v>
      </c>
      <c r="L34" s="227">
        <f t="shared" si="8"/>
        <v>0</v>
      </c>
      <c r="M34" s="228">
        <f t="shared" si="8"/>
        <v>0</v>
      </c>
      <c r="N34" s="218">
        <f t="shared" si="8"/>
        <v>396981.87199999974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0.38784492277784555</v>
      </c>
      <c r="D35" s="229">
        <f>IF(ISERROR($E$30/D36),"NA",$E$30/D36)</f>
        <v>0.39984012657509849</v>
      </c>
      <c r="E35" s="229">
        <f>IF(ISERROR($E$30/E36),"NA",$E$30/E36)</f>
        <v>0.40800012915826378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73.606836999999999</v>
      </c>
      <c r="U35" s="110"/>
      <c r="V35" s="2"/>
      <c r="W35" s="2"/>
      <c r="X35" s="2"/>
      <c r="Y35" s="2"/>
      <c r="Z35" s="2"/>
    </row>
    <row r="36" spans="1:26" ht="15" customHeight="1" x14ac:dyDescent="0.2">
      <c r="A36" s="24"/>
      <c r="B36" s="111" t="s">
        <v>181</v>
      </c>
      <c r="C36" s="218">
        <f>N10</f>
        <v>7010299.4939999999</v>
      </c>
      <c r="D36" s="180">
        <v>6799990.5091800001</v>
      </c>
      <c r="E36" s="180">
        <v>6663990.6989964005</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5.5838970899310034</v>
      </c>
      <c r="D37" s="229">
        <f>IF(ISERROR($E$30/D38),"NA",$E$30/D38)</f>
        <v>5.7565949380731976</v>
      </c>
      <c r="E37" s="229">
        <f>IF(ISERROR($E$30/E38),"NA",$E$30/E38)</f>
        <v>5.8740764674216299</v>
      </c>
      <c r="F37" s="2"/>
      <c r="G37" s="122" t="s">
        <v>185</v>
      </c>
      <c r="H37" s="111"/>
      <c r="I37" s="185">
        <f t="shared" ref="I37:N37" si="10">SUM(I34:I36)</f>
        <v>-647219.06400000013</v>
      </c>
      <c r="J37" s="185">
        <f t="shared" si="10"/>
        <v>224085.94100000118</v>
      </c>
      <c r="K37" s="185">
        <f t="shared" si="10"/>
        <v>396981.87199999974</v>
      </c>
      <c r="L37" s="191">
        <f t="shared" si="10"/>
        <v>0</v>
      </c>
      <c r="M37" s="192">
        <f t="shared" si="10"/>
        <v>0</v>
      </c>
      <c r="N37" s="185">
        <f t="shared" si="10"/>
        <v>396981.87199999974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486919.62299999973</v>
      </c>
      <c r="D38" s="180">
        <v>472312.0343099999</v>
      </c>
      <c r="E38" s="180">
        <v>462865.79362379992</v>
      </c>
      <c r="F38" s="2"/>
      <c r="G38" s="128" t="s">
        <v>173</v>
      </c>
      <c r="H38" s="128"/>
      <c r="I38" s="203">
        <f t="shared" ref="I38:N38" si="11">IF(ISERROR(I37/I10),"NA",I37/I10)</f>
        <v>-4.7236833364768471E-2</v>
      </c>
      <c r="J38" s="203">
        <f t="shared" si="11"/>
        <v>2.5094187012995071E-2</v>
      </c>
      <c r="K38" s="203">
        <f t="shared" si="11"/>
        <v>5.6628375483782113E-2</v>
      </c>
      <c r="L38" s="209" t="str">
        <f t="shared" si="11"/>
        <v>NA</v>
      </c>
      <c r="M38" s="210" t="str">
        <f t="shared" si="11"/>
        <v>NA</v>
      </c>
      <c r="N38" s="203">
        <f t="shared" si="11"/>
        <v>5.6628375483782113E-2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6.8489501855641448</v>
      </c>
      <c r="D39" s="229">
        <f>IF(ISERROR($E$30/D40),"NA",$E$30/D40)</f>
        <v>7.0607733871795268</v>
      </c>
      <c r="E39" s="229">
        <f>IF(ISERROR($E$30/E40),"NA",$E$30/E40)</f>
        <v>7.2048708032444146</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396981.87199999974</v>
      </c>
      <c r="D40" s="180">
        <v>385072.41583999997</v>
      </c>
      <c r="E40" s="180">
        <v>377370.96752319997</v>
      </c>
      <c r="F40" s="237"/>
      <c r="G40" s="111" t="s">
        <v>190</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191</v>
      </c>
      <c r="Q40" s="111"/>
      <c r="R40" s="111"/>
      <c r="S40" s="111"/>
      <c r="T40" s="238">
        <f>T35+SUM(T38:T39)</f>
        <v>73.606836999999999</v>
      </c>
      <c r="U40" s="110"/>
      <c r="V40" s="2"/>
      <c r="W40" s="2"/>
      <c r="X40" s="2"/>
      <c r="Y40" s="2"/>
      <c r="Z40" s="2"/>
    </row>
    <row r="41" spans="1:26" ht="12.75" customHeight="1" x14ac:dyDescent="0.2">
      <c r="A41" s="24"/>
      <c r="B41" s="111" t="s">
        <v>192</v>
      </c>
      <c r="C41" s="229">
        <f>IF(ISERROR($E$17/N52),"NA",E17/N52)</f>
        <v>4.3726717736948428</v>
      </c>
      <c r="D41" s="229">
        <f>IF(ISERROR($E$17/D42),"NA",$E$17/D42)</f>
        <v>4.5079394503684291</v>
      </c>
      <c r="E41" s="229">
        <f>IF(ISERROR($E$17/E42),"NA",$E$17/E42)</f>
        <v>4.5999382146616625</v>
      </c>
      <c r="F41" s="2"/>
      <c r="G41" s="122" t="s">
        <v>193</v>
      </c>
      <c r="H41" s="111"/>
      <c r="I41" s="185">
        <f t="shared" ref="I41:N41" si="13">I40+I37</f>
        <v>-540508.25600000017</v>
      </c>
      <c r="J41" s="185">
        <f t="shared" si="13"/>
        <v>335710.25000000116</v>
      </c>
      <c r="K41" s="185">
        <f t="shared" si="13"/>
        <v>486919.62299999973</v>
      </c>
      <c r="L41" s="191">
        <f t="shared" si="13"/>
        <v>0</v>
      </c>
      <c r="M41" s="192">
        <f t="shared" si="13"/>
        <v>0</v>
      </c>
      <c r="N41" s="185">
        <f t="shared" si="13"/>
        <v>486919.62299999973</v>
      </c>
      <c r="O41" s="2"/>
      <c r="P41" s="111"/>
      <c r="Q41" s="111"/>
      <c r="R41" s="111"/>
      <c r="S41" s="111"/>
      <c r="T41" s="111"/>
      <c r="U41" s="110"/>
      <c r="V41" s="2"/>
      <c r="W41" s="2"/>
      <c r="X41" s="2"/>
      <c r="Y41" s="2"/>
      <c r="Z41" s="2"/>
    </row>
    <row r="42" spans="1:26" ht="15" customHeight="1" x14ac:dyDescent="0.2">
      <c r="A42" s="24"/>
      <c r="B42" s="111" t="s">
        <v>181</v>
      </c>
      <c r="C42" s="213">
        <f>N52</f>
        <v>2447.0165047303926</v>
      </c>
      <c r="D42" s="201">
        <v>2373.59</v>
      </c>
      <c r="E42" s="201">
        <v>2326.1181999999999</v>
      </c>
      <c r="F42" s="2"/>
      <c r="G42" s="128" t="s">
        <v>173</v>
      </c>
      <c r="H42" s="128"/>
      <c r="I42" s="203">
        <f t="shared" ref="I42:N42" si="14">IF(ISERROR(I41/I10),"NA",I41/I10)</f>
        <v>-3.944861924053835E-2</v>
      </c>
      <c r="J42" s="203">
        <f t="shared" si="14"/>
        <v>3.7594396855442677E-2</v>
      </c>
      <c r="K42" s="203">
        <f t="shared" si="14"/>
        <v>6.9457749047204934E-2</v>
      </c>
      <c r="L42" s="209" t="str">
        <f t="shared" si="14"/>
        <v>NA</v>
      </c>
      <c r="M42" s="210" t="str">
        <f t="shared" si="14"/>
        <v>NA</v>
      </c>
      <c r="N42" s="203">
        <f t="shared" si="14"/>
        <v>6.9457749047204934E-2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-885289.07900000014</v>
      </c>
      <c r="J44" s="218">
        <f t="shared" si="15"/>
        <v>29239.789000001176</v>
      </c>
      <c r="K44" s="218">
        <f t="shared" si="15"/>
        <v>180117.14499999973</v>
      </c>
      <c r="L44" s="227">
        <f t="shared" si="15"/>
        <v>0</v>
      </c>
      <c r="M44" s="228">
        <f t="shared" si="15"/>
        <v>0</v>
      </c>
      <c r="N44" s="218">
        <f t="shared" si="15"/>
        <v>180117.14499999973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0.1328055118715076</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0.1982313095639936</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3.9020633414607847E-2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-885289.07900000014</v>
      </c>
      <c r="J49" s="202">
        <f t="shared" si="19"/>
        <v>29239.789000001176</v>
      </c>
      <c r="K49" s="202">
        <f t="shared" si="19"/>
        <v>180117.14499999973</v>
      </c>
      <c r="L49" s="207">
        <f t="shared" si="19"/>
        <v>0</v>
      </c>
      <c r="M49" s="208">
        <f t="shared" si="19"/>
        <v>0</v>
      </c>
      <c r="N49" s="202">
        <f t="shared" si="19"/>
        <v>180117.14499999973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-6.4612207875836533E-2</v>
      </c>
      <c r="J50" s="203">
        <f t="shared" si="20"/>
        <v>3.2744077121131922E-3</v>
      </c>
      <c r="K50" s="203">
        <f t="shared" si="20"/>
        <v>2.5693216838190584E-2</v>
      </c>
      <c r="L50" s="209" t="str">
        <f t="shared" si="20"/>
        <v>NA</v>
      </c>
      <c r="M50" s="210" t="str">
        <f t="shared" si="20"/>
        <v>NA</v>
      </c>
      <c r="N50" s="203">
        <f t="shared" si="20"/>
        <v>2.5693216838190584E-2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4.2084972759456871</v>
      </c>
      <c r="F52" s="2"/>
      <c r="G52" s="111" t="s">
        <v>219</v>
      </c>
      <c r="H52" s="111"/>
      <c r="I52" s="213">
        <f t="shared" ref="I52:N52" si="21">IF(ISERROR(I49/I24),0,I49/I24)</f>
        <v>-12027.266964344632</v>
      </c>
      <c r="J52" s="213">
        <f t="shared" si="21"/>
        <v>397.24284036279369</v>
      </c>
      <c r="K52" s="213">
        <f t="shared" si="21"/>
        <v>2447.0165047303926</v>
      </c>
      <c r="L52" s="214">
        <f t="shared" si="21"/>
        <v>0</v>
      </c>
      <c r="M52" s="215">
        <f t="shared" si="21"/>
        <v>0</v>
      </c>
      <c r="N52" s="213">
        <f t="shared" si="21"/>
        <v>2447.0165047303926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3.930584939683158</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3.281950863147947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3.2678978651678996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2.6757496225706388</v>
      </c>
      <c r="F56" s="2"/>
      <c r="G56" s="111" t="s">
        <v>190</v>
      </c>
      <c r="H56" s="111"/>
      <c r="I56" s="182">
        <v>106710.808</v>
      </c>
      <c r="J56" s="182">
        <v>111624.30899999999</v>
      </c>
      <c r="K56" s="182">
        <v>89937.751000000004</v>
      </c>
      <c r="L56" s="252">
        <v>0</v>
      </c>
      <c r="M56" s="253">
        <v>0</v>
      </c>
      <c r="N56" s="195">
        <f>K56+M56-L56</f>
        <v>89937.751000000004</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7.7882141242301261E-3</v>
      </c>
      <c r="J57" s="255">
        <f t="shared" si="22"/>
        <v>1.2500209842447608E-2</v>
      </c>
      <c r="K57" s="255">
        <f t="shared" si="22"/>
        <v>1.2829373563422824E-2</v>
      </c>
      <c r="L57" s="256" t="str">
        <f t="shared" si="22"/>
        <v>NA</v>
      </c>
      <c r="M57" s="257" t="str">
        <f t="shared" si="22"/>
        <v>NA</v>
      </c>
      <c r="N57" s="255">
        <f t="shared" si="22"/>
        <v>1.2829373563422824E-2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249158.054</v>
      </c>
      <c r="J58" s="182">
        <v>4683.9539999999997</v>
      </c>
      <c r="K58" s="182">
        <v>2084.9430000000002</v>
      </c>
      <c r="L58" s="186">
        <v>0</v>
      </c>
      <c r="M58" s="187">
        <v>0</v>
      </c>
      <c r="N58" s="195">
        <f>K58+M58-L58</f>
        <v>2084.9430000000002</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1.8184627327800688E-2</v>
      </c>
      <c r="J59" s="255">
        <f t="shared" si="23"/>
        <v>5.2453097731939235E-4</v>
      </c>
      <c r="K59" s="255">
        <f t="shared" si="23"/>
        <v>2.9741140186442371E-4</v>
      </c>
      <c r="L59" s="258" t="str">
        <f t="shared" si="23"/>
        <v>NA</v>
      </c>
      <c r="M59" s="259" t="str">
        <f t="shared" si="23"/>
        <v>NA</v>
      </c>
      <c r="N59" s="255">
        <f t="shared" si="23"/>
        <v>2.9741140186442371E-4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-0.21495402284278164</v>
      </c>
      <c r="D61" s="203">
        <f>IF(ISERROR(K41/J41-1),0,K41/J41-1)</f>
        <v>0.45041631287694694</v>
      </c>
      <c r="E61" s="203">
        <f>IF(ISERROR(K52/J52-1),0,K52/J52-1)</f>
        <v>5.1600015307905434</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-0.28470856694519697</v>
      </c>
      <c r="D62" s="203">
        <f>IF(ISERROR((K41/I41)^(1/2)-1),0,(K41/I41)^(1/2)-1)</f>
        <v>0</v>
      </c>
      <c r="E62" s="203">
        <f>IF(ISERROR((K52/I52)^(1/2)-1),0,(K52/I52)^(1/2)-1)</f>
        <v>0</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-2.9999999999999694E-2</v>
      </c>
      <c r="E64" s="203">
        <f>IF(ISERROR(D42/K52-1),0,D42/K52-1)</f>
        <v>-3.0006542493052124E-2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-2.5012820597111629E-2</v>
      </c>
      <c r="D65" s="203">
        <f>IF(ISERROR((E38/K41)^(1/2)-1),0,(E38/K41)^(1/2)-1)</f>
        <v>-2.5012820597111518E-2</v>
      </c>
      <c r="E65" s="203">
        <f>IF(ISERROR((E42/K52)^(1/2)-1),0,(E42/K52)^(1/2)-1)</f>
        <v>-2.501610866804127E-2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102126.93399999999</v>
      </c>
      <c r="T8" s="180">
        <v>20863.874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594142.01399999997</v>
      </c>
      <c r="T9" s="182">
        <v>421552.62900000002</v>
      </c>
      <c r="U9" s="110"/>
      <c r="V9" s="2"/>
      <c r="W9" s="2"/>
      <c r="X9" s="2"/>
      <c r="Y9" s="2"/>
      <c r="Z9" s="2"/>
    </row>
    <row r="10" spans="1:26" ht="15" customHeight="1" x14ac:dyDescent="0.2">
      <c r="A10" s="24"/>
      <c r="B10" s="111" t="s">
        <v>118</v>
      </c>
      <c r="C10" s="111"/>
      <c r="D10" s="121"/>
      <c r="E10" s="150">
        <v>46022</v>
      </c>
      <c r="F10" s="2"/>
      <c r="G10" s="122" t="s">
        <v>34</v>
      </c>
      <c r="H10" s="122"/>
      <c r="I10" s="180">
        <v>6157358.5389999999</v>
      </c>
      <c r="J10" s="180">
        <v>6305060.1730000004</v>
      </c>
      <c r="K10" s="180">
        <v>5320344.78</v>
      </c>
      <c r="L10" s="183">
        <v>0</v>
      </c>
      <c r="M10" s="184">
        <v>0</v>
      </c>
      <c r="N10" s="185">
        <f>K10+M10-L10</f>
        <v>5320344.78</v>
      </c>
      <c r="O10" s="2"/>
      <c r="P10" s="111" t="s">
        <v>119</v>
      </c>
      <c r="Q10" s="123"/>
      <c r="R10" s="123"/>
      <c r="S10" s="182">
        <v>2573014.5460000001</v>
      </c>
      <c r="T10" s="182">
        <v>1814973.9140000001</v>
      </c>
      <c r="U10" s="110"/>
      <c r="V10" s="2"/>
      <c r="W10" s="2"/>
      <c r="X10" s="2"/>
      <c r="Y10" s="2"/>
      <c r="Z10" s="2"/>
    </row>
    <row r="11" spans="1:26" ht="15" customHeight="1" x14ac:dyDescent="0.2">
      <c r="A11" s="24"/>
      <c r="B11" s="111" t="s">
        <v>120</v>
      </c>
      <c r="C11" s="111"/>
      <c r="D11" s="117"/>
      <c r="E11" s="149" t="s">
        <v>121</v>
      </c>
      <c r="F11" s="2"/>
      <c r="G11" s="111" t="s">
        <v>122</v>
      </c>
      <c r="H11" s="111"/>
      <c r="I11" s="182">
        <v>6001720.1200000001</v>
      </c>
      <c r="J11" s="182">
        <v>6602787.7010000004</v>
      </c>
      <c r="K11" s="182">
        <v>5140249.6090000002</v>
      </c>
      <c r="L11" s="186">
        <v>0</v>
      </c>
      <c r="M11" s="187">
        <v>0</v>
      </c>
      <c r="N11" s="188">
        <f>K11+M11-L11</f>
        <v>5140249.6090000002</v>
      </c>
      <c r="O11" s="189"/>
      <c r="P11" s="111" t="s">
        <v>123</v>
      </c>
      <c r="Q11" s="190"/>
      <c r="R11" s="190"/>
      <c r="S11" s="182">
        <v>194760.7940000002</v>
      </c>
      <c r="T11" s="182">
        <v>119585.1550000003</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155638.41899999976</v>
      </c>
      <c r="J12" s="185">
        <f t="shared" si="0"/>
        <v>-297727.52799999993</v>
      </c>
      <c r="K12" s="185">
        <f t="shared" si="0"/>
        <v>180095.17100000009</v>
      </c>
      <c r="L12" s="191">
        <f t="shared" si="0"/>
        <v>0</v>
      </c>
      <c r="M12" s="192">
        <f t="shared" si="0"/>
        <v>0</v>
      </c>
      <c r="N12" s="185">
        <f t="shared" si="0"/>
        <v>180095.17100000009</v>
      </c>
      <c r="O12" s="2"/>
      <c r="P12" s="124" t="s">
        <v>126</v>
      </c>
      <c r="Q12" s="120"/>
      <c r="R12" s="120"/>
      <c r="S12" s="185">
        <f>SUM(S8:S11)</f>
        <v>3464044.2880000002</v>
      </c>
      <c r="T12" s="185">
        <f>SUM(T8:T11)</f>
        <v>2376975.5720000006</v>
      </c>
      <c r="U12" s="110"/>
      <c r="V12" s="2"/>
      <c r="W12" s="2"/>
      <c r="X12" s="2"/>
      <c r="Y12" s="2"/>
      <c r="Z12" s="2"/>
    </row>
    <row r="13" spans="1:26" ht="12.75" customHeight="1" x14ac:dyDescent="0.2">
      <c r="A13" s="24"/>
      <c r="B13" s="111" t="s">
        <v>127</v>
      </c>
      <c r="C13" s="111"/>
      <c r="D13" s="193"/>
      <c r="E13" s="194">
        <v>1.1000000000000001</v>
      </c>
      <c r="F13" s="2"/>
      <c r="G13" s="111" t="s">
        <v>128</v>
      </c>
      <c r="H13" s="125"/>
      <c r="I13" s="182">
        <v>88022.513999999996</v>
      </c>
      <c r="J13" s="182">
        <v>116261.409</v>
      </c>
      <c r="K13" s="182">
        <v>90955.85</v>
      </c>
      <c r="L13" s="186">
        <v>0</v>
      </c>
      <c r="M13" s="187">
        <v>0</v>
      </c>
      <c r="N13" s="195">
        <f>K13+M13-L13</f>
        <v>90955.85</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-68130.550999999978</v>
      </c>
      <c r="J14" s="197">
        <v>55782.32799999998</v>
      </c>
      <c r="K14" s="197">
        <v>-7043.4939999999924</v>
      </c>
      <c r="L14" s="198">
        <v>0</v>
      </c>
      <c r="M14" s="199">
        <v>0</v>
      </c>
      <c r="N14" s="200">
        <f>K14+M14-L14</f>
        <v>-7043.4939999999924</v>
      </c>
      <c r="O14" s="2"/>
      <c r="P14" s="111" t="s">
        <v>131</v>
      </c>
      <c r="Q14" s="123"/>
      <c r="R14" s="123"/>
      <c r="S14" s="182">
        <v>320369.10399999999</v>
      </c>
      <c r="T14" s="182">
        <v>306573.42800000001</v>
      </c>
      <c r="U14" s="110"/>
      <c r="V14" s="2"/>
      <c r="W14" s="2"/>
      <c r="X14" s="2"/>
      <c r="Y14" s="2"/>
      <c r="Z14" s="2"/>
    </row>
    <row r="15" spans="1:26" ht="12.75" customHeight="1" x14ac:dyDescent="0.2">
      <c r="A15" s="24"/>
      <c r="B15" s="2"/>
      <c r="C15" s="2"/>
      <c r="D15" s="2"/>
      <c r="E15" s="2"/>
      <c r="F15" s="2"/>
      <c r="G15" s="122" t="s">
        <v>132</v>
      </c>
      <c r="H15" s="125"/>
      <c r="I15" s="185">
        <f t="shared" ref="I15:N15" si="1">I12-SUM(I13:I14)</f>
        <v>135746.45599999974</v>
      </c>
      <c r="J15" s="185">
        <f t="shared" si="1"/>
        <v>-469771.2649999999</v>
      </c>
      <c r="K15" s="185">
        <f t="shared" si="1"/>
        <v>96182.815000000075</v>
      </c>
      <c r="L15" s="191">
        <f t="shared" si="1"/>
        <v>0</v>
      </c>
      <c r="M15" s="192">
        <f t="shared" si="1"/>
        <v>0</v>
      </c>
      <c r="N15" s="185">
        <f t="shared" si="1"/>
        <v>96182.815000000075</v>
      </c>
      <c r="O15" s="2"/>
      <c r="P15" s="111" t="s">
        <v>133</v>
      </c>
      <c r="Q15" s="120"/>
      <c r="R15" s="120"/>
      <c r="S15" s="182">
        <v>92870.527000000002</v>
      </c>
      <c r="T15" s="182">
        <v>90495.589000000007</v>
      </c>
      <c r="U15" s="110"/>
      <c r="V15" s="2"/>
      <c r="W15" s="2"/>
      <c r="X15" s="2"/>
      <c r="Y15" s="2"/>
      <c r="Z15" s="2"/>
    </row>
    <row r="16" spans="1:26" ht="15" customHeight="1" x14ac:dyDescent="0.2">
      <c r="A16" s="24"/>
      <c r="B16" s="271" t="s">
        <v>134</v>
      </c>
      <c r="C16" s="269"/>
      <c r="D16" s="269"/>
      <c r="E16" s="269"/>
      <c r="F16" s="2"/>
      <c r="G16" s="111" t="s">
        <v>135</v>
      </c>
      <c r="H16" s="125"/>
      <c r="I16" s="182">
        <v>116539.556</v>
      </c>
      <c r="J16" s="182">
        <v>103851.3</v>
      </c>
      <c r="K16" s="182">
        <v>91217.796000000002</v>
      </c>
      <c r="L16" s="186">
        <v>0</v>
      </c>
      <c r="M16" s="187">
        <v>0</v>
      </c>
      <c r="N16" s="188">
        <f>K16+M16-L16</f>
        <v>91217.796000000002</v>
      </c>
      <c r="O16" s="2"/>
      <c r="P16" s="111" t="s">
        <v>136</v>
      </c>
      <c r="Q16" s="123"/>
      <c r="R16" s="123"/>
      <c r="S16" s="182">
        <v>54452.524999999972</v>
      </c>
      <c r="T16" s="182">
        <v>73979.850999999762</v>
      </c>
      <c r="U16" s="110"/>
      <c r="V16" s="2"/>
      <c r="W16" s="2"/>
      <c r="X16" s="2"/>
      <c r="Y16" s="2"/>
      <c r="Z16" s="2"/>
    </row>
    <row r="17" spans="1:26" ht="15" customHeight="1" x14ac:dyDescent="0.2">
      <c r="A17" s="24"/>
      <c r="B17" s="111" t="s">
        <v>137</v>
      </c>
      <c r="C17" s="111"/>
      <c r="D17" s="126">
        <v>0</v>
      </c>
      <c r="E17" s="201">
        <v>4380</v>
      </c>
      <c r="F17" s="2"/>
      <c r="G17" s="122" t="s">
        <v>138</v>
      </c>
      <c r="H17" s="111"/>
      <c r="I17" s="185">
        <f t="shared" ref="I17:N17" si="2">I15-SUM(I16)</f>
        <v>19206.899999999747</v>
      </c>
      <c r="J17" s="185">
        <f t="shared" si="2"/>
        <v>-573622.56499999994</v>
      </c>
      <c r="K17" s="185">
        <f t="shared" si="2"/>
        <v>4965.019000000073</v>
      </c>
      <c r="L17" s="191">
        <f t="shared" si="2"/>
        <v>0</v>
      </c>
      <c r="M17" s="192">
        <f t="shared" si="2"/>
        <v>0</v>
      </c>
      <c r="N17" s="185">
        <f t="shared" si="2"/>
        <v>4965.019000000073</v>
      </c>
      <c r="O17" s="2"/>
      <c r="P17" s="124" t="s">
        <v>139</v>
      </c>
      <c r="Q17" s="120"/>
      <c r="R17" s="120"/>
      <c r="S17" s="202">
        <f>SUM(S12:S16)</f>
        <v>3931736.4439999997</v>
      </c>
      <c r="T17" s="202">
        <f>SUM(T12:T16)</f>
        <v>2848024.4400000004</v>
      </c>
      <c r="U17" s="110"/>
      <c r="V17" s="2"/>
      <c r="W17" s="2"/>
      <c r="X17" s="2"/>
      <c r="Y17" s="2"/>
      <c r="Z17" s="2"/>
    </row>
    <row r="18" spans="1:26" ht="12.75" customHeight="1" x14ac:dyDescent="0.2">
      <c r="A18" s="127"/>
      <c r="B18" s="128" t="s">
        <v>140</v>
      </c>
      <c r="C18" s="128"/>
      <c r="D18" s="129"/>
      <c r="E18" s="203">
        <f>+IF(ISERROR(E17/E19),"NA",E17/E19)</f>
        <v>0.65373134328358207</v>
      </c>
      <c r="F18" s="2"/>
      <c r="G18" s="111" t="s">
        <v>141</v>
      </c>
      <c r="H18" s="111"/>
      <c r="I18" s="182">
        <v>15102.977999999999</v>
      </c>
      <c r="J18" s="182">
        <v>24092.366000000002</v>
      </c>
      <c r="K18" s="182">
        <v>-739.32100000000003</v>
      </c>
      <c r="L18" s="186">
        <v>0</v>
      </c>
      <c r="M18" s="187">
        <v>0</v>
      </c>
      <c r="N18" s="195">
        <f>K18+M18-L18</f>
        <v>-739.32100000000003</v>
      </c>
      <c r="O18" s="2"/>
      <c r="P18" s="111"/>
      <c r="Q18" s="111"/>
      <c r="R18" s="111"/>
      <c r="S18" s="111"/>
      <c r="T18" s="111"/>
      <c r="U18" s="110"/>
      <c r="V18" s="2"/>
      <c r="W18" s="2"/>
      <c r="X18" s="2"/>
      <c r="Y18" s="2"/>
      <c r="Z18" s="2"/>
    </row>
    <row r="19" spans="1:26" ht="15" customHeight="1" x14ac:dyDescent="0.2">
      <c r="A19" s="24"/>
      <c r="B19" s="111" t="s">
        <v>142</v>
      </c>
      <c r="C19" s="111"/>
      <c r="D19" s="204">
        <v>0</v>
      </c>
      <c r="E19" s="205">
        <v>6700</v>
      </c>
      <c r="F19" s="2"/>
      <c r="G19" s="111" t="s">
        <v>143</v>
      </c>
      <c r="H19" s="111"/>
      <c r="I19" s="197">
        <v>148.09200000000001</v>
      </c>
      <c r="J19" s="197">
        <v>-11777.981</v>
      </c>
      <c r="K19" s="197">
        <v>598.85299999999995</v>
      </c>
      <c r="L19" s="198">
        <v>0</v>
      </c>
      <c r="M19" s="199">
        <v>0</v>
      </c>
      <c r="N19" s="206">
        <f>K19+M19-L19</f>
        <v>598.85299999999995</v>
      </c>
      <c r="O19" s="2"/>
      <c r="P19" s="111" t="s">
        <v>144</v>
      </c>
      <c r="Q19" s="123"/>
      <c r="R19" s="123"/>
      <c r="S19" s="182">
        <v>389312.29499999998</v>
      </c>
      <c r="T19" s="182">
        <v>235784.38399999999</v>
      </c>
      <c r="U19" s="110"/>
      <c r="V19" s="2"/>
      <c r="W19" s="2"/>
      <c r="X19" s="2"/>
      <c r="Y19" s="2"/>
      <c r="Z19" s="2"/>
    </row>
    <row r="20" spans="1:26" ht="15" customHeight="1" x14ac:dyDescent="0.2">
      <c r="A20" s="24"/>
      <c r="B20" s="111" t="s">
        <v>145</v>
      </c>
      <c r="C20" s="111"/>
      <c r="D20" s="204">
        <v>0</v>
      </c>
      <c r="E20" s="205">
        <v>4300</v>
      </c>
      <c r="F20" s="2"/>
      <c r="G20" s="111" t="s">
        <v>146</v>
      </c>
      <c r="H20" s="111"/>
      <c r="I20" s="197">
        <v>0</v>
      </c>
      <c r="J20" s="197">
        <v>0</v>
      </c>
      <c r="K20" s="197">
        <v>0</v>
      </c>
      <c r="L20" s="198">
        <v>0</v>
      </c>
      <c r="M20" s="199">
        <v>0</v>
      </c>
      <c r="N20" s="200">
        <f>K20+M20-L20</f>
        <v>0</v>
      </c>
      <c r="O20" s="2"/>
      <c r="P20" s="111" t="s">
        <v>147</v>
      </c>
      <c r="Q20" s="190"/>
      <c r="R20" s="190"/>
      <c r="S20" s="182">
        <v>4172.9569999999994</v>
      </c>
      <c r="T20" s="182">
        <v>2125.1819999999998</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3955.8299999997471</v>
      </c>
      <c r="J21" s="202">
        <f t="shared" si="3"/>
        <v>-585936.94999999995</v>
      </c>
      <c r="K21" s="202">
        <f t="shared" si="3"/>
        <v>5105.4870000000728</v>
      </c>
      <c r="L21" s="207">
        <f t="shared" si="3"/>
        <v>0</v>
      </c>
      <c r="M21" s="208">
        <f t="shared" si="3"/>
        <v>0</v>
      </c>
      <c r="N21" s="202">
        <f t="shared" si="3"/>
        <v>5105.4870000000728</v>
      </c>
      <c r="O21" s="2"/>
      <c r="P21" s="111" t="s">
        <v>150</v>
      </c>
      <c r="Q21" s="120"/>
      <c r="R21" s="120"/>
      <c r="S21" s="182">
        <v>2254636.7710000002</v>
      </c>
      <c r="T21" s="182">
        <v>1321316.0959999999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0.78633084985084523</v>
      </c>
      <c r="J22" s="203">
        <f t="shared" si="4"/>
        <v>-4.2000380511530266E-2</v>
      </c>
      <c r="K22" s="203">
        <f t="shared" si="4"/>
        <v>-0.14890597598921357</v>
      </c>
      <c r="L22" s="209" t="str">
        <f t="shared" si="4"/>
        <v>NA</v>
      </c>
      <c r="M22" s="210" t="str">
        <f t="shared" si="4"/>
        <v>NA</v>
      </c>
      <c r="N22" s="203">
        <f t="shared" si="4"/>
        <v>-0.14890597598921357</v>
      </c>
      <c r="O22" s="2"/>
      <c r="P22" s="124" t="s">
        <v>152</v>
      </c>
      <c r="Q22" s="123"/>
      <c r="R22" s="123"/>
      <c r="S22" s="185">
        <f>SUM(S19:S21)</f>
        <v>2648122.023</v>
      </c>
      <c r="T22" s="185">
        <f>SUM(T19:T21)</f>
        <v>1559225.662</v>
      </c>
      <c r="U22" s="110"/>
      <c r="V22" s="2"/>
      <c r="W22" s="2"/>
      <c r="X22" s="2"/>
      <c r="Y22" s="2"/>
      <c r="Z22" s="2"/>
    </row>
    <row r="23" spans="1:26" ht="15" customHeight="1" x14ac:dyDescent="0.2">
      <c r="A23" s="24"/>
      <c r="B23" s="111" t="s">
        <v>153</v>
      </c>
      <c r="C23" s="111"/>
      <c r="D23" s="111"/>
      <c r="E23" s="211">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491961.67446000001</v>
      </c>
      <c r="F24" s="2"/>
      <c r="G24" s="111" t="s">
        <v>155</v>
      </c>
      <c r="H24" s="111"/>
      <c r="I24" s="182">
        <v>112.32001700000001</v>
      </c>
      <c r="J24" s="182">
        <v>112.32001700000001</v>
      </c>
      <c r="K24" s="182">
        <v>112.32001700000001</v>
      </c>
      <c r="L24" s="186">
        <v>0</v>
      </c>
      <c r="M24" s="187">
        <v>0</v>
      </c>
      <c r="N24" s="195">
        <f>+IF(ISERROR(K24+M24-L24),"NA",K24+M24-L24)</f>
        <v>112.32001700000001</v>
      </c>
      <c r="O24" s="2"/>
      <c r="P24" s="133" t="s">
        <v>156</v>
      </c>
      <c r="Q24" s="120"/>
      <c r="R24" s="120"/>
      <c r="S24" s="182">
        <v>2038428.7069999999</v>
      </c>
      <c r="T24" s="182">
        <v>1268941.94</v>
      </c>
      <c r="U24" s="110"/>
      <c r="V24" s="2"/>
      <c r="W24" s="2"/>
      <c r="X24" s="2"/>
      <c r="Y24" s="2"/>
      <c r="Z24" s="2"/>
    </row>
    <row r="25" spans="1:26" ht="15" customHeight="1" x14ac:dyDescent="0.2">
      <c r="A25" s="24"/>
      <c r="B25" s="111"/>
      <c r="C25" s="111"/>
      <c r="D25" s="111"/>
      <c r="E25" s="111"/>
      <c r="F25" s="2"/>
      <c r="G25" s="111" t="s">
        <v>157</v>
      </c>
      <c r="H25" s="111"/>
      <c r="I25" s="213">
        <f>IF(ISERROR(I21/I24),"NA",I21/I24)</f>
        <v>35.219278857478692</v>
      </c>
      <c r="J25" s="213">
        <f>+IF(ISERROR(J21/J24),"NA",J21/J24)</f>
        <v>-5216.6743350831221</v>
      </c>
      <c r="K25" s="213">
        <f>+IF(ISERROR(K21/K24),"NA",K21/K24)</f>
        <v>45.454827521972973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1268941.94</v>
      </c>
      <c r="F26" s="2"/>
      <c r="G26" s="2"/>
      <c r="H26" s="2"/>
      <c r="I26" s="2"/>
      <c r="J26" s="2"/>
      <c r="K26" s="2"/>
      <c r="L26" s="2"/>
      <c r="M26" s="2"/>
      <c r="N26" s="2"/>
      <c r="O26" s="2"/>
      <c r="P26" s="124" t="s">
        <v>160</v>
      </c>
      <c r="Q26" s="111"/>
      <c r="R26" s="111"/>
      <c r="S26" s="185">
        <f>S22+SUM(S24:S25)</f>
        <v>4686550.7300000004</v>
      </c>
      <c r="T26" s="185">
        <f>T22+SUM(T24:T25)</f>
        <v>2828167.602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598.85299999999995</v>
      </c>
      <c r="F28" s="2"/>
      <c r="G28" s="271" t="s">
        <v>163</v>
      </c>
      <c r="H28" s="269"/>
      <c r="I28" s="269"/>
      <c r="J28" s="269"/>
      <c r="K28" s="269"/>
      <c r="L28" s="269"/>
      <c r="M28" s="269"/>
      <c r="N28" s="269"/>
      <c r="O28" s="2"/>
      <c r="P28" s="111" t="s">
        <v>143</v>
      </c>
      <c r="Q28" s="136"/>
      <c r="R28" s="136"/>
      <c r="S28" s="182">
        <v>-11777.981</v>
      </c>
      <c r="T28" s="182">
        <v>598.85299999999995</v>
      </c>
      <c r="U28" s="110"/>
      <c r="V28" s="2"/>
      <c r="W28" s="2"/>
      <c r="X28" s="2"/>
      <c r="Y28" s="2"/>
      <c r="Z28" s="2"/>
    </row>
    <row r="29" spans="1:26" ht="15" customHeight="1" x14ac:dyDescent="0.2">
      <c r="A29" s="24"/>
      <c r="B29" s="111" t="s">
        <v>164</v>
      </c>
      <c r="C29" s="111"/>
      <c r="D29" s="111"/>
      <c r="E29" s="217">
        <f>-T8</f>
        <v>-20863.874</v>
      </c>
      <c r="F29" s="2"/>
      <c r="G29" s="111" t="s">
        <v>165</v>
      </c>
      <c r="H29" s="111"/>
      <c r="I29" s="218">
        <f t="shared" ref="I29:N29" si="5">I12</f>
        <v>155638.41899999976</v>
      </c>
      <c r="J29" s="218">
        <f t="shared" si="5"/>
        <v>-297727.52799999993</v>
      </c>
      <c r="K29" s="218">
        <f t="shared" si="5"/>
        <v>180095.17100000009</v>
      </c>
      <c r="L29" s="219">
        <f t="shared" si="5"/>
        <v>0</v>
      </c>
      <c r="M29" s="220">
        <f t="shared" si="5"/>
        <v>0</v>
      </c>
      <c r="N29" s="218">
        <f t="shared" si="5"/>
        <v>180095.17100000009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1740638.5934599997</v>
      </c>
      <c r="F30" s="221"/>
      <c r="G30" s="111" t="s">
        <v>168</v>
      </c>
      <c r="H30" s="111"/>
      <c r="I30" s="223">
        <v>0</v>
      </c>
      <c r="J30" s="223">
        <v>0</v>
      </c>
      <c r="K30" s="223">
        <v>0</v>
      </c>
      <c r="L30" s="186">
        <v>0</v>
      </c>
      <c r="M30" s="187">
        <v>0</v>
      </c>
      <c r="N30" s="188">
        <f>K30+M30-L30</f>
        <v>0</v>
      </c>
      <c r="O30" s="2"/>
      <c r="P30" s="133" t="s">
        <v>169</v>
      </c>
      <c r="Q30" s="224"/>
      <c r="R30" s="224"/>
      <c r="S30" s="182">
        <v>1258146.8799999999</v>
      </c>
      <c r="T30" s="182">
        <v>1263780.503</v>
      </c>
      <c r="U30" s="2"/>
      <c r="V30" s="2"/>
      <c r="W30" s="2"/>
      <c r="X30" s="2"/>
      <c r="Y30" s="2"/>
      <c r="Z30" s="2"/>
    </row>
    <row r="31" spans="1:26" ht="15" customHeight="1" x14ac:dyDescent="0.2">
      <c r="A31" s="24"/>
      <c r="B31" s="2"/>
      <c r="C31" s="2"/>
      <c r="D31" s="2"/>
      <c r="E31" s="2"/>
      <c r="F31" s="221"/>
      <c r="G31" s="122" t="s">
        <v>170</v>
      </c>
      <c r="H31" s="111"/>
      <c r="I31" s="185">
        <f t="shared" ref="I31:N31" si="6">SUM(I29:I30)</f>
        <v>155638.41899999976</v>
      </c>
      <c r="J31" s="185">
        <f t="shared" si="6"/>
        <v>-297727.52799999993</v>
      </c>
      <c r="K31" s="185">
        <f t="shared" si="6"/>
        <v>180095.17100000009</v>
      </c>
      <c r="L31" s="191">
        <f t="shared" si="6"/>
        <v>0</v>
      </c>
      <c r="M31" s="192">
        <f t="shared" si="6"/>
        <v>0</v>
      </c>
      <c r="N31" s="185">
        <f t="shared" si="6"/>
        <v>180095.17100000009</v>
      </c>
      <c r="O31" s="2"/>
      <c r="P31" s="124" t="s">
        <v>171</v>
      </c>
      <c r="Q31" s="224"/>
      <c r="R31" s="224"/>
      <c r="S31" s="202">
        <f>S26+SUM(S28:S30)</f>
        <v>5932919.6290000007</v>
      </c>
      <c r="T31" s="202">
        <f>T26+SUM(T28:T30)</f>
        <v>4092546.9579999996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2.527681602658087E-2</v>
      </c>
      <c r="J32" s="203">
        <f t="shared" si="7"/>
        <v>-4.7220410246828569E-2</v>
      </c>
      <c r="K32" s="203">
        <f t="shared" si="7"/>
        <v>3.3850281973643086E-2</v>
      </c>
      <c r="L32" s="209" t="str">
        <f t="shared" si="7"/>
        <v>NA</v>
      </c>
      <c r="M32" s="210" t="str">
        <f t="shared" si="7"/>
        <v>NA</v>
      </c>
      <c r="N32" s="203">
        <f t="shared" si="7"/>
        <v>3.3850281973643086E-2</v>
      </c>
      <c r="O32" s="2"/>
      <c r="P32" s="128" t="s">
        <v>174</v>
      </c>
      <c r="Q32" s="137"/>
      <c r="R32" s="137"/>
      <c r="S32" s="225">
        <f>S17-S31</f>
        <v>-2001183.185000001</v>
      </c>
      <c r="T32" s="225">
        <f>T17-T31</f>
        <v>-1244522.5179999992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135746.45599999974</v>
      </c>
      <c r="J34" s="218">
        <f t="shared" si="8"/>
        <v>-469771.2649999999</v>
      </c>
      <c r="K34" s="218">
        <f t="shared" si="8"/>
        <v>96182.815000000075</v>
      </c>
      <c r="L34" s="227">
        <f t="shared" si="8"/>
        <v>0</v>
      </c>
      <c r="M34" s="228">
        <f t="shared" si="8"/>
        <v>0</v>
      </c>
      <c r="N34" s="218">
        <f t="shared" si="8"/>
        <v>96182.815000000075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0.3271665024423473</v>
      </c>
      <c r="D35" s="229">
        <f>IF(ISERROR($E$30/D36),"NA",$E$30/D36)</f>
        <v>0.33728505406427556</v>
      </c>
      <c r="E35" s="229">
        <f>IF(ISERROR($E$30/E36),"NA",$E$30/E36)</f>
        <v>0.34416842251456692</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112.32001700000001</v>
      </c>
      <c r="U35" s="110"/>
      <c r="V35" s="2"/>
      <c r="W35" s="2"/>
      <c r="X35" s="2"/>
      <c r="Y35" s="2"/>
      <c r="Z35" s="2"/>
    </row>
    <row r="36" spans="1:26" ht="15" customHeight="1" x14ac:dyDescent="0.2">
      <c r="A36" s="24"/>
      <c r="B36" s="111" t="s">
        <v>181</v>
      </c>
      <c r="C36" s="218">
        <f>N10</f>
        <v>5320344.78</v>
      </c>
      <c r="D36" s="180">
        <v>5160734.4365999997</v>
      </c>
      <c r="E36" s="180">
        <v>5057519.7478679996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14.015957154508769</v>
      </c>
      <c r="D37" s="229">
        <f>IF(ISERROR($E$30/D38),"NA",$E$30/D38)</f>
        <v>14.449440481822643</v>
      </c>
      <c r="E37" s="229">
        <f>IF(ISERROR($E$30/E38),"NA",$E$30/E38)</f>
        <v>14.744327022268005</v>
      </c>
      <c r="F37" s="2"/>
      <c r="G37" s="122" t="s">
        <v>185</v>
      </c>
      <c r="H37" s="111"/>
      <c r="I37" s="185">
        <f t="shared" ref="I37:N37" si="10">SUM(I34:I36)</f>
        <v>135746.45599999974</v>
      </c>
      <c r="J37" s="185">
        <f t="shared" si="10"/>
        <v>-469771.2649999999</v>
      </c>
      <c r="K37" s="185">
        <f t="shared" si="10"/>
        <v>96182.815000000075</v>
      </c>
      <c r="L37" s="191">
        <f t="shared" si="10"/>
        <v>0</v>
      </c>
      <c r="M37" s="192">
        <f t="shared" si="10"/>
        <v>0</v>
      </c>
      <c r="N37" s="185">
        <f t="shared" si="10"/>
        <v>96182.815000000075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124189.77700000007</v>
      </c>
      <c r="D38" s="180">
        <v>120464.08272000001</v>
      </c>
      <c r="E38" s="180">
        <v>118054.8010656</v>
      </c>
      <c r="F38" s="2"/>
      <c r="G38" s="128" t="s">
        <v>173</v>
      </c>
      <c r="H38" s="128"/>
      <c r="I38" s="203">
        <f t="shared" ref="I38:N38" si="11">IF(ISERROR(I37/I10),"NA",I37/I10)</f>
        <v>2.2046215944742754E-2</v>
      </c>
      <c r="J38" s="203">
        <f t="shared" si="11"/>
        <v>-7.4507023265485944E-2</v>
      </c>
      <c r="K38" s="203">
        <f t="shared" si="11"/>
        <v>1.8078304880083367E-2</v>
      </c>
      <c r="L38" s="209" t="str">
        <f t="shared" si="11"/>
        <v>NA</v>
      </c>
      <c r="M38" s="210" t="str">
        <f t="shared" si="11"/>
        <v>NA</v>
      </c>
      <c r="N38" s="203">
        <f t="shared" si="11"/>
        <v>1.8078304880083367E-2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18.09718912323369</v>
      </c>
      <c r="D39" s="229">
        <f>IF(ISERROR($E$30/D40),"NA",$E$30/D40)</f>
        <v>18.656896197306999</v>
      </c>
      <c r="E39" s="229">
        <f>IF(ISERROR($E$30/E40),"NA",$E$30/E40)</f>
        <v>19.037649180925509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96182.815000000075</v>
      </c>
      <c r="D40" s="180">
        <v>93297.329579999991</v>
      </c>
      <c r="E40" s="180">
        <v>91431.382988399986</v>
      </c>
      <c r="F40" s="237"/>
      <c r="G40" s="111" t="s">
        <v>190</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191</v>
      </c>
      <c r="Q40" s="111"/>
      <c r="R40" s="111"/>
      <c r="S40" s="111"/>
      <c r="T40" s="238">
        <f>T35+SUM(T38:T39)</f>
        <v>112.32001700000001</v>
      </c>
      <c r="U40" s="110"/>
      <c r="V40" s="2"/>
      <c r="W40" s="2"/>
      <c r="X40" s="2"/>
      <c r="Y40" s="2"/>
      <c r="Z40" s="2"/>
    </row>
    <row r="41" spans="1:26" ht="12.75" customHeight="1" x14ac:dyDescent="0.2">
      <c r="A41" s="24"/>
      <c r="B41" s="111" t="s">
        <v>192</v>
      </c>
      <c r="C41" s="229">
        <f>IF(ISERROR($E$17/N52),"NA",E17/N52)</f>
        <v>96.359402043329666</v>
      </c>
      <c r="D41" s="229">
        <f>IF(ISERROR($E$17/D42),"NA",$E$17/D42)</f>
        <v>100.34364261168385</v>
      </c>
      <c r="E41" s="229">
        <f>IF(ISERROR($E$17/E42),"NA",$E$17/E42)</f>
        <v>102.39147205273862</v>
      </c>
      <c r="F41" s="2"/>
      <c r="G41" s="122" t="s">
        <v>193</v>
      </c>
      <c r="H41" s="111"/>
      <c r="I41" s="185">
        <f t="shared" ref="I41:N41" si="13">I40+I37</f>
        <v>165871.93099999975</v>
      </c>
      <c r="J41" s="185">
        <f t="shared" si="13"/>
        <v>-441329.0749999999</v>
      </c>
      <c r="K41" s="185">
        <f t="shared" si="13"/>
        <v>124189.77700000007</v>
      </c>
      <c r="L41" s="191">
        <f t="shared" si="13"/>
        <v>0</v>
      </c>
      <c r="M41" s="192">
        <f t="shared" si="13"/>
        <v>0</v>
      </c>
      <c r="N41" s="185">
        <f t="shared" si="13"/>
        <v>124189.77700000007</v>
      </c>
      <c r="O41" s="2"/>
      <c r="P41" s="111"/>
      <c r="Q41" s="111"/>
      <c r="R41" s="111"/>
      <c r="S41" s="111"/>
      <c r="T41" s="111"/>
      <c r="U41" s="110"/>
      <c r="V41" s="2"/>
      <c r="W41" s="2"/>
      <c r="X41" s="2"/>
      <c r="Y41" s="2"/>
      <c r="Z41" s="2"/>
    </row>
    <row r="42" spans="1:26" ht="15" customHeight="1" x14ac:dyDescent="0.2">
      <c r="A42" s="24"/>
      <c r="B42" s="111" t="s">
        <v>181</v>
      </c>
      <c r="C42" s="213">
        <f>N52</f>
        <v>45.454827521972973</v>
      </c>
      <c r="D42" s="201">
        <v>43.65</v>
      </c>
      <c r="E42" s="201">
        <v>42.777000000000001</v>
      </c>
      <c r="F42" s="2"/>
      <c r="G42" s="128" t="s">
        <v>173</v>
      </c>
      <c r="H42" s="128"/>
      <c r="I42" s="203">
        <f t="shared" ref="I42:N42" si="14">IF(ISERROR(I41/I10),"NA",I41/I10)</f>
        <v>2.6938813120818941E-2</v>
      </c>
      <c r="J42" s="203">
        <f t="shared" si="14"/>
        <v>-6.9996013184757885E-2</v>
      </c>
      <c r="K42" s="203">
        <f t="shared" si="14"/>
        <v>2.3342430262574085E-2</v>
      </c>
      <c r="L42" s="209" t="str">
        <f t="shared" si="14"/>
        <v>NA</v>
      </c>
      <c r="M42" s="210" t="str">
        <f t="shared" si="14"/>
        <v>NA</v>
      </c>
      <c r="N42" s="203">
        <f t="shared" si="14"/>
        <v>2.3342430262574085E-2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3955.8299999997471</v>
      </c>
      <c r="J44" s="218">
        <f t="shared" si="15"/>
        <v>-585936.94999999995</v>
      </c>
      <c r="K44" s="218">
        <f t="shared" si="15"/>
        <v>5105.4870000000728</v>
      </c>
      <c r="L44" s="227">
        <f t="shared" si="15"/>
        <v>0</v>
      </c>
      <c r="M44" s="228">
        <f t="shared" si="15"/>
        <v>0</v>
      </c>
      <c r="N44" s="218">
        <f t="shared" si="15"/>
        <v>5105.4870000000728</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3.3711053842028861E-2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4.0488770885438877E-3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1.5060964796114993E-3</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3955.8299999997471</v>
      </c>
      <c r="J49" s="202">
        <f t="shared" si="19"/>
        <v>-585936.94999999995</v>
      </c>
      <c r="K49" s="202">
        <f t="shared" si="19"/>
        <v>5105.4870000000728</v>
      </c>
      <c r="L49" s="207">
        <f t="shared" si="19"/>
        <v>0</v>
      </c>
      <c r="M49" s="208">
        <f t="shared" si="19"/>
        <v>0</v>
      </c>
      <c r="N49" s="202">
        <f t="shared" si="19"/>
        <v>5105.4870000000728</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6.4245568533064553E-4</v>
      </c>
      <c r="J50" s="203">
        <f t="shared" si="20"/>
        <v>-9.2931222529666402E-2</v>
      </c>
      <c r="K50" s="203">
        <f t="shared" si="20"/>
        <v>9.5961581647723069E-4</v>
      </c>
      <c r="L50" s="209" t="str">
        <f t="shared" si="20"/>
        <v>NA</v>
      </c>
      <c r="M50" s="210" t="str">
        <f t="shared" si="20"/>
        <v>NA</v>
      </c>
      <c r="N50" s="203">
        <f t="shared" si="20"/>
        <v>9.5961581647723069E-4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10.217764864816523</v>
      </c>
      <c r="F52" s="2"/>
      <c r="G52" s="111" t="s">
        <v>219</v>
      </c>
      <c r="H52" s="111"/>
      <c r="I52" s="213">
        <f t="shared" ref="I52:N52" si="21">IF(ISERROR(I49/I24),0,I49/I24)</f>
        <v>35.219278857478692</v>
      </c>
      <c r="J52" s="213">
        <f t="shared" si="21"/>
        <v>-5216.6743350831221</v>
      </c>
      <c r="K52" s="213">
        <f t="shared" si="21"/>
        <v>45.454827521972973</v>
      </c>
      <c r="L52" s="214">
        <f t="shared" si="21"/>
        <v>0</v>
      </c>
      <c r="M52" s="215">
        <f t="shared" si="21"/>
        <v>0</v>
      </c>
      <c r="N52" s="213">
        <f t="shared" si="21"/>
        <v>45.454827521972973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10.049764933550039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1.3614643462773435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1.2678136182987809</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1.0544303767216658</v>
      </c>
      <c r="F56" s="2"/>
      <c r="G56" s="111" t="s">
        <v>190</v>
      </c>
      <c r="H56" s="111"/>
      <c r="I56" s="182">
        <v>30125.474999999999</v>
      </c>
      <c r="J56" s="182">
        <v>28442.19</v>
      </c>
      <c r="K56" s="182">
        <v>28006.962</v>
      </c>
      <c r="L56" s="252">
        <v>0</v>
      </c>
      <c r="M56" s="253">
        <v>0</v>
      </c>
      <c r="N56" s="195">
        <f>K56+M56-L56</f>
        <v>28006.962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4.8925971760761877E-3</v>
      </c>
      <c r="J57" s="255">
        <f t="shared" si="22"/>
        <v>4.511010080728059E-3</v>
      </c>
      <c r="K57" s="255">
        <f t="shared" si="22"/>
        <v>5.2641253824907185E-3</v>
      </c>
      <c r="L57" s="256" t="str">
        <f t="shared" si="22"/>
        <v>NA</v>
      </c>
      <c r="M57" s="257" t="str">
        <f t="shared" si="22"/>
        <v>NA</v>
      </c>
      <c r="N57" s="255">
        <f t="shared" si="22"/>
        <v>5.2641253824907185E-3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61642.366999999998</v>
      </c>
      <c r="J58" s="182">
        <v>29210.274000000001</v>
      </c>
      <c r="K58" s="182">
        <v>8542.6129999999994</v>
      </c>
      <c r="L58" s="186">
        <v>0</v>
      </c>
      <c r="M58" s="187">
        <v>0</v>
      </c>
      <c r="N58" s="195">
        <f>K58+M58-L58</f>
        <v>8542.6129999999994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1.0011170635843981E-2</v>
      </c>
      <c r="J59" s="255">
        <f t="shared" si="23"/>
        <v>4.6328303296908121E-3</v>
      </c>
      <c r="K59" s="255">
        <f t="shared" si="23"/>
        <v>1.6056502638913562E-3</v>
      </c>
      <c r="L59" s="258" t="str">
        <f t="shared" si="23"/>
        <v>NA</v>
      </c>
      <c r="M59" s="259" t="str">
        <f t="shared" si="23"/>
        <v>NA</v>
      </c>
      <c r="N59" s="255">
        <f t="shared" si="23"/>
        <v>1.6056502638913562E-3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-0.15617858767102999</v>
      </c>
      <c r="D61" s="203">
        <f>IF(ISERROR(K41/J41-1),0,K41/J41-1)</f>
        <v>-1.2813994908447854</v>
      </c>
      <c r="E61" s="203">
        <f>IF(ISERROR(K52/J52-1),0,K52/J52-1)</f>
        <v>-1.0087133726589526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-7.0450188531658409E-2</v>
      </c>
      <c r="D62" s="203">
        <f>IF(ISERROR((K41/I41)^(1/2)-1),0,(K41/I41)^(1/2)-1)</f>
        <v>-0.13472038299852251</v>
      </c>
      <c r="E62" s="203">
        <f>IF(ISERROR((K52/I52)^(1/2)-1),0,(K52/I52)^(1/2)-1)</f>
        <v>0.13605609876986491</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-3.0000000000000138E-2</v>
      </c>
      <c r="D64" s="203">
        <f>IF(ISERROR(D38/K41-1),0,D38/K41-1)</f>
        <v>-3.0000007810627283E-2</v>
      </c>
      <c r="E64" s="203">
        <f>IF(ISERROR(D42/K52-1),0,D42/K52-1)</f>
        <v>-3.9705959088735199E-2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-2.5012824522504196E-2</v>
      </c>
      <c r="E65" s="203">
        <f>IF(ISERROR((E42/K52)^(1/2)-1),0,(E42/K52)^(1/2)-1)</f>
        <v>-2.9903015109808972E-2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602071.799</v>
      </c>
      <c r="T8" s="180">
        <v>427830.96500000003</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2985396.517</v>
      </c>
      <c r="T9" s="182">
        <v>2188354.88</v>
      </c>
      <c r="U9" s="110"/>
      <c r="V9" s="2"/>
      <c r="W9" s="2"/>
      <c r="X9" s="2"/>
      <c r="Y9" s="2"/>
      <c r="Z9" s="2"/>
    </row>
    <row r="10" spans="1:26" ht="15" customHeight="1" x14ac:dyDescent="0.2">
      <c r="A10" s="24"/>
      <c r="B10" s="111" t="s">
        <v>118</v>
      </c>
      <c r="C10" s="111"/>
      <c r="D10" s="121"/>
      <c r="E10" s="150">
        <v>46022</v>
      </c>
      <c r="F10" s="2"/>
      <c r="G10" s="122" t="s">
        <v>34</v>
      </c>
      <c r="H10" s="122"/>
      <c r="I10" s="180">
        <v>31650660.956999999</v>
      </c>
      <c r="J10" s="180">
        <v>39271893.737999998</v>
      </c>
      <c r="K10" s="180">
        <v>36537815.078000002</v>
      </c>
      <c r="L10" s="183">
        <v>0</v>
      </c>
      <c r="M10" s="184">
        <v>0</v>
      </c>
      <c r="N10" s="185">
        <f>K10+M10-L10</f>
        <v>36537815.078000002</v>
      </c>
      <c r="O10" s="2"/>
      <c r="P10" s="111" t="s">
        <v>119</v>
      </c>
      <c r="Q10" s="123"/>
      <c r="R10" s="123"/>
      <c r="S10" s="182">
        <v>9712417.0999999996</v>
      </c>
      <c r="T10" s="182">
        <v>8203702.9390000002</v>
      </c>
      <c r="U10" s="110"/>
      <c r="V10" s="2"/>
      <c r="W10" s="2"/>
      <c r="X10" s="2"/>
      <c r="Y10" s="2"/>
      <c r="Z10" s="2"/>
    </row>
    <row r="11" spans="1:26" ht="15" customHeight="1" x14ac:dyDescent="0.2">
      <c r="A11" s="24"/>
      <c r="B11" s="111" t="s">
        <v>120</v>
      </c>
      <c r="C11" s="111"/>
      <c r="D11" s="117"/>
      <c r="E11" s="149" t="s">
        <v>121</v>
      </c>
      <c r="F11" s="2"/>
      <c r="G11" s="111" t="s">
        <v>122</v>
      </c>
      <c r="H11" s="111"/>
      <c r="I11" s="182">
        <v>28590018.866999999</v>
      </c>
      <c r="J11" s="182">
        <v>35008227.342</v>
      </c>
      <c r="K11" s="182">
        <v>32017774.23</v>
      </c>
      <c r="L11" s="186">
        <v>0</v>
      </c>
      <c r="M11" s="187">
        <v>0</v>
      </c>
      <c r="N11" s="188">
        <f>K11+M11-L11</f>
        <v>32017774.23</v>
      </c>
      <c r="O11" s="189"/>
      <c r="P11" s="111" t="s">
        <v>123</v>
      </c>
      <c r="Q11" s="190"/>
      <c r="R11" s="190"/>
      <c r="S11" s="182">
        <v>874469.10400000028</v>
      </c>
      <c r="T11" s="182">
        <v>895782.92999999877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3060642.09</v>
      </c>
      <c r="J12" s="185">
        <f t="shared" si="0"/>
        <v>4263666.3959999979</v>
      </c>
      <c r="K12" s="185">
        <f t="shared" si="0"/>
        <v>4520040.8480000012</v>
      </c>
      <c r="L12" s="191">
        <f t="shared" si="0"/>
        <v>0</v>
      </c>
      <c r="M12" s="192">
        <f t="shared" si="0"/>
        <v>0</v>
      </c>
      <c r="N12" s="185">
        <f t="shared" si="0"/>
        <v>4520040.8480000012</v>
      </c>
      <c r="O12" s="2"/>
      <c r="P12" s="124" t="s">
        <v>126</v>
      </c>
      <c r="Q12" s="120"/>
      <c r="R12" s="120"/>
      <c r="S12" s="185">
        <f>SUM(S8:S11)</f>
        <v>14174354.52</v>
      </c>
      <c r="T12" s="185">
        <f>SUM(T8:T11)</f>
        <v>11715671.713999998</v>
      </c>
      <c r="U12" s="110"/>
      <c r="V12" s="2"/>
      <c r="W12" s="2"/>
      <c r="X12" s="2"/>
      <c r="Y12" s="2"/>
      <c r="Z12" s="2"/>
    </row>
    <row r="13" spans="1:26" ht="12.75" customHeight="1" x14ac:dyDescent="0.2">
      <c r="A13" s="24"/>
      <c r="B13" s="111" t="s">
        <v>127</v>
      </c>
      <c r="C13" s="111"/>
      <c r="D13" s="193"/>
      <c r="E13" s="194">
        <v>1.1000000000000001</v>
      </c>
      <c r="F13" s="2"/>
      <c r="G13" s="111" t="s">
        <v>128</v>
      </c>
      <c r="H13" s="125"/>
      <c r="I13" s="182">
        <v>2883832.0669999998</v>
      </c>
      <c r="J13" s="182">
        <v>3840270.3539999998</v>
      </c>
      <c r="K13" s="182">
        <v>3774596.176</v>
      </c>
      <c r="L13" s="186">
        <v>0</v>
      </c>
      <c r="M13" s="187">
        <v>0</v>
      </c>
      <c r="N13" s="195">
        <f>K13+M13-L13</f>
        <v>3774596.176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-164702.03999999989</v>
      </c>
      <c r="J14" s="197">
        <v>-260829.63000000009</v>
      </c>
      <c r="K14" s="197">
        <v>-264943.59999999963</v>
      </c>
      <c r="L14" s="198">
        <v>0</v>
      </c>
      <c r="M14" s="199">
        <v>0</v>
      </c>
      <c r="N14" s="200">
        <f>K14+M14-L14</f>
        <v>-264943.59999999963</v>
      </c>
      <c r="O14" s="2"/>
      <c r="P14" s="111" t="s">
        <v>131</v>
      </c>
      <c r="Q14" s="123"/>
      <c r="R14" s="123"/>
      <c r="S14" s="182">
        <v>4110740</v>
      </c>
      <c r="T14" s="182">
        <v>4121684.8130000001</v>
      </c>
      <c r="U14" s="110"/>
      <c r="V14" s="2"/>
      <c r="W14" s="2"/>
      <c r="X14" s="2"/>
      <c r="Y14" s="2"/>
      <c r="Z14" s="2"/>
    </row>
    <row r="15" spans="1:26" ht="12.75" customHeight="1" x14ac:dyDescent="0.2">
      <c r="A15" s="24"/>
      <c r="B15" s="2"/>
      <c r="C15" s="2"/>
      <c r="D15" s="2"/>
      <c r="E15" s="2"/>
      <c r="F15" s="2"/>
      <c r="G15" s="122" t="s">
        <v>132</v>
      </c>
      <c r="H15" s="125"/>
      <c r="I15" s="185">
        <f t="shared" ref="I15:N15" si="1">I12-SUM(I13:I14)</f>
        <v>341512.06300000008</v>
      </c>
      <c r="J15" s="185">
        <f t="shared" si="1"/>
        <v>684225.67199999793</v>
      </c>
      <c r="K15" s="185">
        <f t="shared" si="1"/>
        <v>1010388.2720000008</v>
      </c>
      <c r="L15" s="191">
        <f t="shared" si="1"/>
        <v>0</v>
      </c>
      <c r="M15" s="192">
        <f t="shared" si="1"/>
        <v>0</v>
      </c>
      <c r="N15" s="185">
        <f t="shared" si="1"/>
        <v>1010388.2720000008</v>
      </c>
      <c r="O15" s="2"/>
      <c r="P15" s="111" t="s">
        <v>133</v>
      </c>
      <c r="Q15" s="120"/>
      <c r="R15" s="120"/>
      <c r="S15" s="182">
        <v>196161.56400000001</v>
      </c>
      <c r="T15" s="182">
        <v>220275.353</v>
      </c>
      <c r="U15" s="110"/>
      <c r="V15" s="2"/>
      <c r="W15" s="2"/>
      <c r="X15" s="2"/>
      <c r="Y15" s="2"/>
      <c r="Z15" s="2"/>
    </row>
    <row r="16" spans="1:26" ht="15" customHeight="1" x14ac:dyDescent="0.2">
      <c r="A16" s="24"/>
      <c r="B16" s="271" t="s">
        <v>134</v>
      </c>
      <c r="C16" s="269"/>
      <c r="D16" s="269"/>
      <c r="E16" s="269"/>
      <c r="F16" s="2"/>
      <c r="G16" s="111" t="s">
        <v>135</v>
      </c>
      <c r="H16" s="125"/>
      <c r="I16" s="182">
        <v>195489.503</v>
      </c>
      <c r="J16" s="182">
        <v>133022.41500000001</v>
      </c>
      <c r="K16" s="182">
        <v>185092.84299999999</v>
      </c>
      <c r="L16" s="186">
        <v>0</v>
      </c>
      <c r="M16" s="187">
        <v>0</v>
      </c>
      <c r="N16" s="188">
        <f>K16+M16-L16</f>
        <v>185092.84299999999</v>
      </c>
      <c r="O16" s="2"/>
      <c r="P16" s="111" t="s">
        <v>136</v>
      </c>
      <c r="Q16" s="123"/>
      <c r="R16" s="123"/>
      <c r="S16" s="182">
        <v>1084364.8509999991</v>
      </c>
      <c r="T16" s="182">
        <v>2895410.96</v>
      </c>
      <c r="U16" s="110"/>
      <c r="V16" s="2"/>
      <c r="W16" s="2"/>
      <c r="X16" s="2"/>
      <c r="Y16" s="2"/>
      <c r="Z16" s="2"/>
    </row>
    <row r="17" spans="1:26" ht="15" customHeight="1" x14ac:dyDescent="0.2">
      <c r="A17" s="24"/>
      <c r="B17" s="111" t="s">
        <v>137</v>
      </c>
      <c r="C17" s="111"/>
      <c r="D17" s="126">
        <v>0</v>
      </c>
      <c r="E17" s="201">
        <v>11850</v>
      </c>
      <c r="F17" s="2"/>
      <c r="G17" s="122" t="s">
        <v>138</v>
      </c>
      <c r="H17" s="111"/>
      <c r="I17" s="185">
        <f t="shared" ref="I17:N17" si="2">I15-SUM(I16)</f>
        <v>146022.56000000008</v>
      </c>
      <c r="J17" s="185">
        <f t="shared" si="2"/>
        <v>551203.25699999789</v>
      </c>
      <c r="K17" s="185">
        <f t="shared" si="2"/>
        <v>825295.42900000082</v>
      </c>
      <c r="L17" s="191">
        <f t="shared" si="2"/>
        <v>0</v>
      </c>
      <c r="M17" s="192">
        <f t="shared" si="2"/>
        <v>0</v>
      </c>
      <c r="N17" s="185">
        <f t="shared" si="2"/>
        <v>825295.42900000082</v>
      </c>
      <c r="O17" s="2"/>
      <c r="P17" s="124" t="s">
        <v>139</v>
      </c>
      <c r="Q17" s="120"/>
      <c r="R17" s="120"/>
      <c r="S17" s="202">
        <f>SUM(S12:S16)</f>
        <v>19565620.934999999</v>
      </c>
      <c r="T17" s="202">
        <f>SUM(T12:T16)</f>
        <v>18953042.84</v>
      </c>
      <c r="U17" s="110"/>
      <c r="V17" s="2"/>
      <c r="W17" s="2"/>
      <c r="X17" s="2"/>
      <c r="Y17" s="2"/>
      <c r="Z17" s="2"/>
    </row>
    <row r="18" spans="1:26" ht="12.75" customHeight="1" x14ac:dyDescent="0.2">
      <c r="A18" s="127"/>
      <c r="B18" s="128" t="s">
        <v>140</v>
      </c>
      <c r="C18" s="128"/>
      <c r="D18" s="129"/>
      <c r="E18" s="203">
        <f>+IF(ISERROR(E17/E19),"NA",E17/E19)</f>
        <v>0.72668179309498993</v>
      </c>
      <c r="F18" s="2"/>
      <c r="G18" s="111" t="s">
        <v>141</v>
      </c>
      <c r="H18" s="111"/>
      <c r="I18" s="182">
        <v>115960.216</v>
      </c>
      <c r="J18" s="182">
        <v>36529.281000000003</v>
      </c>
      <c r="K18" s="182">
        <v>90283.356</v>
      </c>
      <c r="L18" s="186">
        <v>0</v>
      </c>
      <c r="M18" s="187">
        <v>0</v>
      </c>
      <c r="N18" s="195">
        <f>K18+M18-L18</f>
        <v>90283.356</v>
      </c>
      <c r="O18" s="2"/>
      <c r="P18" s="111"/>
      <c r="Q18" s="111"/>
      <c r="R18" s="111"/>
      <c r="S18" s="111"/>
      <c r="T18" s="111"/>
      <c r="U18" s="110"/>
      <c r="V18" s="2"/>
      <c r="W18" s="2"/>
      <c r="X18" s="2"/>
      <c r="Y18" s="2"/>
      <c r="Z18" s="2"/>
    </row>
    <row r="19" spans="1:26" ht="15" customHeight="1" x14ac:dyDescent="0.2">
      <c r="A19" s="24"/>
      <c r="B19" s="111" t="s">
        <v>142</v>
      </c>
      <c r="C19" s="111"/>
      <c r="D19" s="204">
        <v>0</v>
      </c>
      <c r="E19" s="205">
        <v>16307</v>
      </c>
      <c r="F19" s="2"/>
      <c r="G19" s="111" t="s">
        <v>143</v>
      </c>
      <c r="H19" s="111"/>
      <c r="I19" s="197">
        <v>54.107999999999997</v>
      </c>
      <c r="J19" s="197">
        <v>39.167999999999999</v>
      </c>
      <c r="K19" s="197">
        <v>-6.702</v>
      </c>
      <c r="L19" s="198">
        <v>0</v>
      </c>
      <c r="M19" s="199">
        <v>0</v>
      </c>
      <c r="N19" s="206">
        <f>K19+M19-L19</f>
        <v>-6.702</v>
      </c>
      <c r="O19" s="2"/>
      <c r="P19" s="111" t="s">
        <v>144</v>
      </c>
      <c r="Q19" s="123"/>
      <c r="R19" s="123"/>
      <c r="S19" s="182">
        <v>2328013.4449999998</v>
      </c>
      <c r="T19" s="182">
        <v>2049570.3810000001</v>
      </c>
      <c r="U19" s="110"/>
      <c r="V19" s="2"/>
      <c r="W19" s="2"/>
      <c r="X19" s="2"/>
      <c r="Y19" s="2"/>
      <c r="Z19" s="2"/>
    </row>
    <row r="20" spans="1:26" ht="15" customHeight="1" x14ac:dyDescent="0.2">
      <c r="A20" s="24"/>
      <c r="B20" s="111" t="s">
        <v>145</v>
      </c>
      <c r="C20" s="111"/>
      <c r="D20" s="204">
        <v>0</v>
      </c>
      <c r="E20" s="205">
        <v>10500</v>
      </c>
      <c r="F20" s="2"/>
      <c r="G20" s="111" t="s">
        <v>146</v>
      </c>
      <c r="H20" s="111"/>
      <c r="I20" s="197">
        <v>0</v>
      </c>
      <c r="J20" s="197">
        <v>0</v>
      </c>
      <c r="K20" s="197">
        <v>0</v>
      </c>
      <c r="L20" s="198">
        <v>0</v>
      </c>
      <c r="M20" s="199">
        <v>0</v>
      </c>
      <c r="N20" s="200">
        <f>K20+M20-L20</f>
        <v>0</v>
      </c>
      <c r="O20" s="2"/>
      <c r="P20" s="111" t="s">
        <v>147</v>
      </c>
      <c r="Q20" s="190"/>
      <c r="R20" s="190"/>
      <c r="S20" s="182">
        <v>200877.91099999999</v>
      </c>
      <c r="T20" s="182">
        <v>222585.755</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30008.236000000092</v>
      </c>
      <c r="J21" s="202">
        <f t="shared" si="3"/>
        <v>514634.80799999787</v>
      </c>
      <c r="K21" s="202">
        <f t="shared" si="3"/>
        <v>735018.77500000084</v>
      </c>
      <c r="L21" s="207">
        <f t="shared" si="3"/>
        <v>0</v>
      </c>
      <c r="M21" s="208">
        <f t="shared" si="3"/>
        <v>0</v>
      </c>
      <c r="N21" s="202">
        <f t="shared" si="3"/>
        <v>735018.77500000084</v>
      </c>
      <c r="O21" s="2"/>
      <c r="P21" s="111" t="s">
        <v>150</v>
      </c>
      <c r="Q21" s="120"/>
      <c r="R21" s="120"/>
      <c r="S21" s="182">
        <v>6103522.6109999996</v>
      </c>
      <c r="T21" s="182">
        <v>5326110.0999999996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0.79412534611090191</v>
      </c>
      <c r="J22" s="203">
        <f t="shared" si="4"/>
        <v>6.627188888326932E-2</v>
      </c>
      <c r="K22" s="203">
        <f t="shared" si="4"/>
        <v>0.1093951969531627</v>
      </c>
      <c r="L22" s="209" t="str">
        <f t="shared" si="4"/>
        <v>NA</v>
      </c>
      <c r="M22" s="210" t="str">
        <f t="shared" si="4"/>
        <v>NA</v>
      </c>
      <c r="N22" s="203">
        <f t="shared" si="4"/>
        <v>0.1093951969531627</v>
      </c>
      <c r="O22" s="2"/>
      <c r="P22" s="124" t="s">
        <v>152</v>
      </c>
      <c r="Q22" s="123"/>
      <c r="R22" s="123"/>
      <c r="S22" s="185">
        <f>SUM(S19:S21)</f>
        <v>8632413.9670000002</v>
      </c>
      <c r="T22" s="185">
        <f>SUM(T19:T21)</f>
        <v>7598266.2359999996</v>
      </c>
      <c r="U22" s="110"/>
      <c r="V22" s="2"/>
      <c r="W22" s="2"/>
      <c r="X22" s="2"/>
      <c r="Y22" s="2"/>
      <c r="Z22" s="2"/>
    </row>
    <row r="23" spans="1:26" ht="15" customHeight="1" x14ac:dyDescent="0.2">
      <c r="A23" s="24"/>
      <c r="B23" s="111" t="s">
        <v>153</v>
      </c>
      <c r="C23" s="111"/>
      <c r="D23" s="111"/>
      <c r="E23" s="211">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9566063.0424000006</v>
      </c>
      <c r="F24" s="2"/>
      <c r="G24" s="111" t="s">
        <v>155</v>
      </c>
      <c r="H24" s="111"/>
      <c r="I24" s="182">
        <v>807.26270399999999</v>
      </c>
      <c r="J24" s="182">
        <v>807.26270399999999</v>
      </c>
      <c r="K24" s="182">
        <v>807.26270399999999</v>
      </c>
      <c r="L24" s="186">
        <v>0</v>
      </c>
      <c r="M24" s="187">
        <v>0</v>
      </c>
      <c r="N24" s="195">
        <f>+IF(ISERROR(K24+M24-L24),"NA",K24+M24-L24)</f>
        <v>807.26270399999999</v>
      </c>
      <c r="O24" s="2"/>
      <c r="P24" s="133" t="s">
        <v>156</v>
      </c>
      <c r="Q24" s="120"/>
      <c r="R24" s="120"/>
      <c r="S24" s="182">
        <v>5364084.4529999997</v>
      </c>
      <c r="T24" s="182">
        <v>4403865.7220000001</v>
      </c>
      <c r="U24" s="110"/>
      <c r="V24" s="2"/>
      <c r="W24" s="2"/>
      <c r="X24" s="2"/>
      <c r="Y24" s="2"/>
      <c r="Z24" s="2"/>
    </row>
    <row r="25" spans="1:26" ht="15" customHeight="1" x14ac:dyDescent="0.2">
      <c r="A25" s="24"/>
      <c r="B25" s="111"/>
      <c r="C25" s="111"/>
      <c r="D25" s="111"/>
      <c r="E25" s="111"/>
      <c r="F25" s="2"/>
      <c r="G25" s="111" t="s">
        <v>157</v>
      </c>
      <c r="H25" s="111"/>
      <c r="I25" s="213">
        <f>IF(ISERROR(I21/I24),"NA",I21/I24)</f>
        <v>37.172825960259019</v>
      </c>
      <c r="J25" s="213">
        <f>+IF(ISERROR(J21/J24),"NA",J21/J24)</f>
        <v>637.50598838516123</v>
      </c>
      <c r="K25" s="213">
        <f>+IF(ISERROR(K21/K24),"NA",K21/K24)</f>
        <v>910.5075353512193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4403865.7220000001</v>
      </c>
      <c r="F26" s="2"/>
      <c r="G26" s="2"/>
      <c r="H26" s="2"/>
      <c r="I26" s="2"/>
      <c r="J26" s="2"/>
      <c r="K26" s="2"/>
      <c r="L26" s="2"/>
      <c r="M26" s="2"/>
      <c r="N26" s="2"/>
      <c r="O26" s="2"/>
      <c r="P26" s="124" t="s">
        <v>160</v>
      </c>
      <c r="Q26" s="111"/>
      <c r="R26" s="111"/>
      <c r="S26" s="185">
        <f>S22+SUM(S24:S25)</f>
        <v>13996498.42</v>
      </c>
      <c r="T26" s="185">
        <f>T22+SUM(T24:T25)</f>
        <v>12002131.958000001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-6.702</v>
      </c>
      <c r="F28" s="2"/>
      <c r="G28" s="271" t="s">
        <v>163</v>
      </c>
      <c r="H28" s="269"/>
      <c r="I28" s="269"/>
      <c r="J28" s="269"/>
      <c r="K28" s="269"/>
      <c r="L28" s="269"/>
      <c r="M28" s="269"/>
      <c r="N28" s="269"/>
      <c r="O28" s="2"/>
      <c r="P28" s="111" t="s">
        <v>143</v>
      </c>
      <c r="Q28" s="136"/>
      <c r="R28" s="136"/>
      <c r="S28" s="182">
        <v>39.167999999999999</v>
      </c>
      <c r="T28" s="182">
        <v>-6.702</v>
      </c>
      <c r="U28" s="110"/>
      <c r="V28" s="2"/>
      <c r="W28" s="2"/>
      <c r="X28" s="2"/>
      <c r="Y28" s="2"/>
      <c r="Z28" s="2"/>
    </row>
    <row r="29" spans="1:26" ht="15" customHeight="1" x14ac:dyDescent="0.2">
      <c r="A29" s="24"/>
      <c r="B29" s="111" t="s">
        <v>164</v>
      </c>
      <c r="C29" s="111"/>
      <c r="D29" s="111"/>
      <c r="E29" s="217">
        <f>-T8</f>
        <v>-427830.96500000003</v>
      </c>
      <c r="F29" s="2"/>
      <c r="G29" s="111" t="s">
        <v>165</v>
      </c>
      <c r="H29" s="111"/>
      <c r="I29" s="218">
        <f t="shared" ref="I29:N29" si="5">I12</f>
        <v>3060642.09</v>
      </c>
      <c r="J29" s="218">
        <f t="shared" si="5"/>
        <v>4263666.3959999979</v>
      </c>
      <c r="K29" s="218">
        <f t="shared" si="5"/>
        <v>4520040.8480000012</v>
      </c>
      <c r="L29" s="219">
        <f t="shared" si="5"/>
        <v>0</v>
      </c>
      <c r="M29" s="220">
        <f t="shared" si="5"/>
        <v>0</v>
      </c>
      <c r="N29" s="218">
        <f t="shared" si="5"/>
        <v>4520040.8480000012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13542091.097400002</v>
      </c>
      <c r="F30" s="221"/>
      <c r="G30" s="111" t="s">
        <v>168</v>
      </c>
      <c r="H30" s="111"/>
      <c r="I30" s="223">
        <v>0</v>
      </c>
      <c r="J30" s="223">
        <v>0</v>
      </c>
      <c r="K30" s="223">
        <v>0</v>
      </c>
      <c r="L30" s="186">
        <v>0</v>
      </c>
      <c r="M30" s="187">
        <v>0</v>
      </c>
      <c r="N30" s="188">
        <f>K30+M30-L30</f>
        <v>0</v>
      </c>
      <c r="O30" s="2"/>
      <c r="P30" s="133" t="s">
        <v>169</v>
      </c>
      <c r="Q30" s="224"/>
      <c r="R30" s="224"/>
      <c r="S30" s="182">
        <v>10916937.056</v>
      </c>
      <c r="T30" s="182">
        <v>11338627.789000001</v>
      </c>
      <c r="U30" s="2"/>
      <c r="V30" s="2"/>
      <c r="W30" s="2"/>
      <c r="X30" s="2"/>
      <c r="Y30" s="2"/>
      <c r="Z30" s="2"/>
    </row>
    <row r="31" spans="1:26" ht="15" customHeight="1" x14ac:dyDescent="0.2">
      <c r="A31" s="24"/>
      <c r="B31" s="2"/>
      <c r="C31" s="2"/>
      <c r="D31" s="2"/>
      <c r="E31" s="2"/>
      <c r="F31" s="221"/>
      <c r="G31" s="122" t="s">
        <v>170</v>
      </c>
      <c r="H31" s="111"/>
      <c r="I31" s="185">
        <f t="shared" ref="I31:N31" si="6">SUM(I29:I30)</f>
        <v>3060642.09</v>
      </c>
      <c r="J31" s="185">
        <f t="shared" si="6"/>
        <v>4263666.3959999979</v>
      </c>
      <c r="K31" s="185">
        <f t="shared" si="6"/>
        <v>4520040.8480000012</v>
      </c>
      <c r="L31" s="191">
        <f t="shared" si="6"/>
        <v>0</v>
      </c>
      <c r="M31" s="192">
        <f t="shared" si="6"/>
        <v>0</v>
      </c>
      <c r="N31" s="185">
        <f t="shared" si="6"/>
        <v>4520040.8480000012</v>
      </c>
      <c r="O31" s="2"/>
      <c r="P31" s="124" t="s">
        <v>171</v>
      </c>
      <c r="Q31" s="224"/>
      <c r="R31" s="224"/>
      <c r="S31" s="202">
        <f>S26+SUM(S28:S30)</f>
        <v>24913474.644000001</v>
      </c>
      <c r="T31" s="202">
        <f>T26+SUM(T28:T30)</f>
        <v>23340753.045000002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9.6700732226670763E-2</v>
      </c>
      <c r="J32" s="203">
        <f t="shared" si="7"/>
        <v>0.10856788380119338</v>
      </c>
      <c r="K32" s="203">
        <f t="shared" si="7"/>
        <v>0.12370856982966093</v>
      </c>
      <c r="L32" s="209" t="str">
        <f t="shared" si="7"/>
        <v>NA</v>
      </c>
      <c r="M32" s="210" t="str">
        <f t="shared" si="7"/>
        <v>NA</v>
      </c>
      <c r="N32" s="203">
        <f t="shared" si="7"/>
        <v>0.12370856982966093</v>
      </c>
      <c r="O32" s="2"/>
      <c r="P32" s="128" t="s">
        <v>174</v>
      </c>
      <c r="Q32" s="137"/>
      <c r="R32" s="137"/>
      <c r="S32" s="225">
        <f>S17-S31</f>
        <v>-5347853.7090000026</v>
      </c>
      <c r="T32" s="225">
        <f>T17-T31</f>
        <v>-4387710.2050000019</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341512.06300000008</v>
      </c>
      <c r="J34" s="218">
        <f t="shared" si="8"/>
        <v>684225.67199999793</v>
      </c>
      <c r="K34" s="218">
        <f t="shared" si="8"/>
        <v>1010388.2720000008</v>
      </c>
      <c r="L34" s="227">
        <f t="shared" si="8"/>
        <v>0</v>
      </c>
      <c r="M34" s="228">
        <f t="shared" si="8"/>
        <v>0</v>
      </c>
      <c r="N34" s="218">
        <f t="shared" si="8"/>
        <v>1010388.2720000008</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0.3706322085349299</v>
      </c>
      <c r="D35" s="229">
        <f>IF(ISERROR($E$30/D36),"NA",$E$30/D36)</f>
        <v>0.37241799100826256</v>
      </c>
      <c r="E35" s="229">
        <f>IF(ISERROR($E$30/E36),"NA",$E$30/E36)</f>
        <v>0.37388811313325115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807.26270399999999</v>
      </c>
      <c r="U35" s="110"/>
      <c r="V35" s="2"/>
      <c r="W35" s="2"/>
      <c r="X35" s="2"/>
      <c r="Y35" s="2"/>
      <c r="Z35" s="2"/>
    </row>
    <row r="36" spans="1:26" ht="15" customHeight="1" x14ac:dyDescent="0.2">
      <c r="A36" s="24"/>
      <c r="B36" s="111" t="s">
        <v>181</v>
      </c>
      <c r="C36" s="218">
        <f>N10</f>
        <v>36537815.078000002</v>
      </c>
      <c r="D36" s="180">
        <v>36362612.506278068</v>
      </c>
      <c r="E36" s="180">
        <v>36219635.291196577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7.0773205148141454</v>
      </c>
      <c r="D37" s="229">
        <f>IF(ISERROR($E$30/D38),"NA",$E$30/D38)</f>
        <v>7.1114205019847203</v>
      </c>
      <c r="E37" s="229">
        <f>IF(ISERROR($E$30/E38),"NA",$E$30/E38)</f>
        <v>7.1394928746210713</v>
      </c>
      <c r="F37" s="2"/>
      <c r="G37" s="122" t="s">
        <v>185</v>
      </c>
      <c r="H37" s="111"/>
      <c r="I37" s="185">
        <f t="shared" ref="I37:N37" si="10">SUM(I34:I36)</f>
        <v>341512.06300000008</v>
      </c>
      <c r="J37" s="185">
        <f t="shared" si="10"/>
        <v>684225.67199999793</v>
      </c>
      <c r="K37" s="185">
        <f t="shared" si="10"/>
        <v>1010388.2720000008</v>
      </c>
      <c r="L37" s="191">
        <f t="shared" si="10"/>
        <v>0</v>
      </c>
      <c r="M37" s="192">
        <f t="shared" si="10"/>
        <v>0</v>
      </c>
      <c r="N37" s="185">
        <f t="shared" si="10"/>
        <v>1010388.2720000008</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1913448.8920000009</v>
      </c>
      <c r="D38" s="180">
        <v>1904273.7092568991</v>
      </c>
      <c r="E38" s="180">
        <v>1896786.135264369</v>
      </c>
      <c r="F38" s="2"/>
      <c r="G38" s="128" t="s">
        <v>173</v>
      </c>
      <c r="H38" s="128"/>
      <c r="I38" s="203">
        <f t="shared" ref="I38:N38" si="11">IF(ISERROR(I37/I10),"NA",I37/I10)</f>
        <v>1.0790045220982021E-2</v>
      </c>
      <c r="J38" s="203">
        <f t="shared" si="11"/>
        <v>1.7422782730182735E-2</v>
      </c>
      <c r="K38" s="203">
        <f t="shared" si="11"/>
        <v>2.765322091217139E-2</v>
      </c>
      <c r="L38" s="209" t="str">
        <f t="shared" si="11"/>
        <v>NA</v>
      </c>
      <c r="M38" s="210" t="str">
        <f t="shared" si="11"/>
        <v>NA</v>
      </c>
      <c r="N38" s="203">
        <f t="shared" si="11"/>
        <v>2.765322091217139E-2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13.402858557130987</v>
      </c>
      <c r="D39" s="229">
        <f>IF(ISERROR($E$30/D40),"NA",$E$30/D40)</f>
        <v>13.46743628246778</v>
      </c>
      <c r="E39" s="229">
        <f>IF(ISERROR($E$30/E40),"NA",$E$30/E40)</f>
        <v>13.520599063331643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1010388.2720000008</v>
      </c>
      <c r="D40" s="180">
        <v>1005543.3575749981</v>
      </c>
      <c r="E40" s="180">
        <v>1001589.577057029</v>
      </c>
      <c r="F40" s="237"/>
      <c r="G40" s="111" t="s">
        <v>190</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191</v>
      </c>
      <c r="Q40" s="111"/>
      <c r="R40" s="111"/>
      <c r="S40" s="111"/>
      <c r="T40" s="238">
        <f>T35+SUM(T38:T39)</f>
        <v>807.26270399999999</v>
      </c>
      <c r="U40" s="110"/>
      <c r="V40" s="2"/>
      <c r="W40" s="2"/>
      <c r="X40" s="2"/>
      <c r="Y40" s="2"/>
      <c r="Z40" s="2"/>
    </row>
    <row r="41" spans="1:26" ht="12.75" customHeight="1" x14ac:dyDescent="0.2">
      <c r="A41" s="24"/>
      <c r="B41" s="111" t="s">
        <v>192</v>
      </c>
      <c r="C41" s="229">
        <f>IF(ISERROR($E$17/N52),"NA",E17/N52)</f>
        <v>13.014719307544203</v>
      </c>
      <c r="D41" s="229">
        <f>IF(ISERROR($E$17/D42),"NA",$E$17/D42)</f>
        <v>10.472379723528688</v>
      </c>
      <c r="E41" s="229">
        <f>IF(ISERROR($E$17/E42),"NA",$E$17/E42)</f>
        <v>10.513719501693426</v>
      </c>
      <c r="F41" s="2"/>
      <c r="G41" s="122" t="s">
        <v>193</v>
      </c>
      <c r="H41" s="111"/>
      <c r="I41" s="185">
        <f t="shared" ref="I41:N41" si="13">I40+I37</f>
        <v>1472213.014</v>
      </c>
      <c r="J41" s="185">
        <f t="shared" si="13"/>
        <v>1673978.5309999981</v>
      </c>
      <c r="K41" s="185">
        <f t="shared" si="13"/>
        <v>1913448.8920000009</v>
      </c>
      <c r="L41" s="191">
        <f t="shared" si="13"/>
        <v>0</v>
      </c>
      <c r="M41" s="192">
        <f t="shared" si="13"/>
        <v>0</v>
      </c>
      <c r="N41" s="185">
        <f t="shared" si="13"/>
        <v>1913448.8920000009</v>
      </c>
      <c r="O41" s="2"/>
      <c r="P41" s="111"/>
      <c r="Q41" s="111"/>
      <c r="R41" s="111"/>
      <c r="S41" s="111"/>
      <c r="T41" s="111"/>
      <c r="U41" s="110"/>
      <c r="V41" s="2"/>
      <c r="W41" s="2"/>
      <c r="X41" s="2"/>
      <c r="Y41" s="2"/>
      <c r="Z41" s="2"/>
    </row>
    <row r="42" spans="1:26" ht="15" customHeight="1" x14ac:dyDescent="0.2">
      <c r="A42" s="24"/>
      <c r="B42" s="111" t="s">
        <v>181</v>
      </c>
      <c r="C42" s="213">
        <f>N52</f>
        <v>910.5075353512193</v>
      </c>
      <c r="D42" s="201">
        <v>1131.5479683549061</v>
      </c>
      <c r="E42" s="201">
        <v>1127.098739707802</v>
      </c>
      <c r="F42" s="2"/>
      <c r="G42" s="128" t="s">
        <v>173</v>
      </c>
      <c r="H42" s="128"/>
      <c r="I42" s="203">
        <f t="shared" ref="I42:N42" si="14">IF(ISERROR(I41/I10),"NA",I41/I10)</f>
        <v>4.6514447707746806E-2</v>
      </c>
      <c r="J42" s="203">
        <f t="shared" si="14"/>
        <v>4.2625358027495237E-2</v>
      </c>
      <c r="K42" s="203">
        <f t="shared" si="14"/>
        <v>5.2369001482853277E-2</v>
      </c>
      <c r="L42" s="209" t="str">
        <f t="shared" si="14"/>
        <v>NA</v>
      </c>
      <c r="M42" s="210" t="str">
        <f t="shared" si="14"/>
        <v>NA</v>
      </c>
      <c r="N42" s="203">
        <f t="shared" si="14"/>
        <v>5.2369001482853277E-2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30008.236000000092</v>
      </c>
      <c r="J44" s="218">
        <f t="shared" si="15"/>
        <v>514634.80799999787</v>
      </c>
      <c r="K44" s="218">
        <f t="shared" si="15"/>
        <v>735018.77500000084</v>
      </c>
      <c r="L44" s="227">
        <f t="shared" si="15"/>
        <v>0</v>
      </c>
      <c r="M44" s="228">
        <f t="shared" si="15"/>
        <v>0</v>
      </c>
      <c r="N44" s="218">
        <f t="shared" si="15"/>
        <v>735018.77500000084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6.5199774950685296E-2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6.6052583263473755E-2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3.8164292473564697E-2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0.16877637130801687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30008.236000000092</v>
      </c>
      <c r="J49" s="202">
        <f t="shared" si="19"/>
        <v>514634.80799999787</v>
      </c>
      <c r="K49" s="202">
        <f t="shared" si="19"/>
        <v>735018.77500000084</v>
      </c>
      <c r="L49" s="207">
        <f t="shared" si="19"/>
        <v>0</v>
      </c>
      <c r="M49" s="208">
        <f t="shared" si="19"/>
        <v>0</v>
      </c>
      <c r="N49" s="202">
        <f t="shared" si="19"/>
        <v>735018.77500000084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9.4810772011266135E-4</v>
      </c>
      <c r="J50" s="203">
        <f t="shared" si="20"/>
        <v>1.3104405186909297E-2</v>
      </c>
      <c r="K50" s="203">
        <f t="shared" si="20"/>
        <v>2.0116659231836972E-2</v>
      </c>
      <c r="L50" s="209" t="str">
        <f t="shared" si="20"/>
        <v>NA</v>
      </c>
      <c r="M50" s="210" t="str">
        <f t="shared" si="20"/>
        <v>NA</v>
      </c>
      <c r="N50" s="203">
        <f t="shared" si="20"/>
        <v>2.0116659231836972E-2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2.3015329755669263</v>
      </c>
      <c r="F52" s="2"/>
      <c r="G52" s="111" t="s">
        <v>219</v>
      </c>
      <c r="H52" s="111"/>
      <c r="I52" s="213">
        <f t="shared" ref="I52:N52" si="21">IF(ISERROR(I49/I24),0,I49/I24)</f>
        <v>37.172825960259019</v>
      </c>
      <c r="J52" s="213">
        <f t="shared" si="21"/>
        <v>637.50598838516123</v>
      </c>
      <c r="K52" s="213">
        <f t="shared" si="21"/>
        <v>910.5075353512193</v>
      </c>
      <c r="L52" s="214">
        <f t="shared" si="21"/>
        <v>0</v>
      </c>
      <c r="M52" s="215">
        <f t="shared" si="21"/>
        <v>0</v>
      </c>
      <c r="N52" s="213">
        <f t="shared" si="21"/>
        <v>910.5075353512193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2.0779414457441376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10.3377789275191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-3.8321648071503187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5.4588186967337293</v>
      </c>
      <c r="F56" s="2"/>
      <c r="G56" s="111" t="s">
        <v>190</v>
      </c>
      <c r="H56" s="111"/>
      <c r="I56" s="182">
        <v>1130700.9509999999</v>
      </c>
      <c r="J56" s="182">
        <v>989752.85900000005</v>
      </c>
      <c r="K56" s="182">
        <v>903060.62</v>
      </c>
      <c r="L56" s="252">
        <v>0</v>
      </c>
      <c r="M56" s="253">
        <v>0</v>
      </c>
      <c r="N56" s="195">
        <f>K56+M56-L56</f>
        <v>903060.62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3.5724402486764784E-2</v>
      </c>
      <c r="J57" s="255">
        <f t="shared" si="22"/>
        <v>2.5202575297312495E-2</v>
      </c>
      <c r="K57" s="255">
        <f t="shared" si="22"/>
        <v>2.4715780570681883E-2</v>
      </c>
      <c r="L57" s="256" t="str">
        <f t="shared" si="22"/>
        <v>NA</v>
      </c>
      <c r="M57" s="257" t="str">
        <f t="shared" si="22"/>
        <v>NA</v>
      </c>
      <c r="N57" s="255">
        <f t="shared" si="22"/>
        <v>2.4715780570681883E-2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373766.50599999999</v>
      </c>
      <c r="J58" s="182">
        <v>770512.87800000003</v>
      </c>
      <c r="K58" s="182">
        <v>2622755.1710000001</v>
      </c>
      <c r="L58" s="186">
        <v>0</v>
      </c>
      <c r="M58" s="187">
        <v>0</v>
      </c>
      <c r="N58" s="195">
        <f>K58+M58-L58</f>
        <v>2622755.1710000001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1.1809121664403541E-2</v>
      </c>
      <c r="J59" s="255">
        <f t="shared" si="23"/>
        <v>1.9619957294151103E-2</v>
      </c>
      <c r="K59" s="255">
        <f t="shared" si="23"/>
        <v>7.1781937847159416E-2</v>
      </c>
      <c r="L59" s="258" t="str">
        <f t="shared" si="23"/>
        <v>NA</v>
      </c>
      <c r="M59" s="259" t="str">
        <f t="shared" si="23"/>
        <v>NA</v>
      </c>
      <c r="N59" s="255">
        <f t="shared" si="23"/>
        <v>7.1781937847159416E-2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-6.9619221274131338E-2</v>
      </c>
      <c r="D61" s="203">
        <f>IF(ISERROR(K41/J41-1),0,K41/J41-1)</f>
        <v>0.14305461902008298</v>
      </c>
      <c r="E61" s="203">
        <f>IF(ISERROR(K52/J52-1),0,K52/J52-1)</f>
        <v>0.42823369809840761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7.4434375801200936E-2</v>
      </c>
      <c r="D62" s="203">
        <f>IF(ISERROR((K41/I41)^(1/2)-1),0,(K41/I41)^(1/2)-1)</f>
        <v>0.14004792153847156</v>
      </c>
      <c r="E62" s="203">
        <f>IF(ISERROR((K52/I52)^(1/2)-1),0,(K52/I52)^(1/2)-1)</f>
        <v>3.9491313824674705</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-4.7951025902319699E-3</v>
      </c>
      <c r="D64" s="203">
        <f>IF(ISERROR(D38/K41-1),0,D38/K41-1)</f>
        <v>-4.7951020701220148E-3</v>
      </c>
      <c r="E64" s="203">
        <f>IF(ISERROR(D42/K52-1),0,D42/K52-1)</f>
        <v>0.24276617646928389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-4.3636368869226505E-3</v>
      </c>
      <c r="D65" s="203">
        <f>IF(ISERROR((E38/K41)^(1/2)-1),0,(E38/K41)^(1/2)-1)</f>
        <v>-4.3636366267549853E-3</v>
      </c>
      <c r="E65" s="203">
        <f>IF(ISERROR((E42/K52)^(1/2)-1),0,(E42/K52)^(1/2)-1)</f>
        <v>0.11260039528735355</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391783.761</v>
      </c>
      <c r="T8" s="180">
        <v>838864.11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1942938.034</v>
      </c>
      <c r="T9" s="182">
        <v>1423363.7120000001</v>
      </c>
      <c r="U9" s="110"/>
      <c r="V9" s="2"/>
      <c r="W9" s="2"/>
      <c r="X9" s="2"/>
      <c r="Y9" s="2"/>
      <c r="Z9" s="2"/>
    </row>
    <row r="10" spans="1:26" ht="15" customHeight="1" x14ac:dyDescent="0.2">
      <c r="A10" s="24"/>
      <c r="B10" s="111" t="s">
        <v>118</v>
      </c>
      <c r="C10" s="111"/>
      <c r="D10" s="121"/>
      <c r="E10" s="150">
        <v>46022</v>
      </c>
      <c r="F10" s="2"/>
      <c r="G10" s="122" t="s">
        <v>34</v>
      </c>
      <c r="H10" s="122"/>
      <c r="I10" s="180">
        <v>18595974.252999999</v>
      </c>
      <c r="J10" s="180">
        <v>20609022.190000001</v>
      </c>
      <c r="K10" s="180">
        <v>14808145.017000001</v>
      </c>
      <c r="L10" s="183">
        <v>0</v>
      </c>
      <c r="M10" s="184">
        <v>0</v>
      </c>
      <c r="N10" s="185">
        <f>K10+M10-L10</f>
        <v>14808145.017000001</v>
      </c>
      <c r="O10" s="2"/>
      <c r="P10" s="111" t="s">
        <v>119</v>
      </c>
      <c r="Q10" s="123"/>
      <c r="R10" s="123"/>
      <c r="S10" s="182">
        <v>6690482.9349999996</v>
      </c>
      <c r="T10" s="182">
        <v>5303103.3969999999</v>
      </c>
      <c r="U10" s="110"/>
      <c r="V10" s="2"/>
      <c r="W10" s="2"/>
      <c r="X10" s="2"/>
      <c r="Y10" s="2"/>
      <c r="Z10" s="2"/>
    </row>
    <row r="11" spans="1:26" ht="15" customHeight="1" x14ac:dyDescent="0.2">
      <c r="A11" s="24"/>
      <c r="B11" s="111" t="s">
        <v>120</v>
      </c>
      <c r="C11" s="111"/>
      <c r="D11" s="117"/>
      <c r="E11" s="149" t="s">
        <v>121</v>
      </c>
      <c r="F11" s="2"/>
      <c r="G11" s="111" t="s">
        <v>122</v>
      </c>
      <c r="H11" s="111"/>
      <c r="I11" s="182">
        <v>17483711.237</v>
      </c>
      <c r="J11" s="182">
        <v>18777248.234999999</v>
      </c>
      <c r="K11" s="182">
        <v>14022971.43</v>
      </c>
      <c r="L11" s="186">
        <v>0</v>
      </c>
      <c r="M11" s="187">
        <v>0</v>
      </c>
      <c r="N11" s="188">
        <f>K11+M11-L11</f>
        <v>14022971.43</v>
      </c>
      <c r="O11" s="189"/>
      <c r="P11" s="111" t="s">
        <v>123</v>
      </c>
      <c r="Q11" s="190"/>
      <c r="R11" s="190"/>
      <c r="S11" s="182">
        <v>1177165.7710000011</v>
      </c>
      <c r="T11" s="182">
        <v>2137469.0670000012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1112263.0159999989</v>
      </c>
      <c r="J12" s="185">
        <f t="shared" si="0"/>
        <v>1831773.9550000019</v>
      </c>
      <c r="K12" s="185">
        <f t="shared" si="0"/>
        <v>785173.58700000122</v>
      </c>
      <c r="L12" s="191">
        <f t="shared" si="0"/>
        <v>0</v>
      </c>
      <c r="M12" s="192">
        <f t="shared" si="0"/>
        <v>0</v>
      </c>
      <c r="N12" s="185">
        <f t="shared" si="0"/>
        <v>785173.58700000122</v>
      </c>
      <c r="O12" s="2"/>
      <c r="P12" s="124" t="s">
        <v>126</v>
      </c>
      <c r="Q12" s="120"/>
      <c r="R12" s="120"/>
      <c r="S12" s="185">
        <f>SUM(S8:S11)</f>
        <v>10202370.501000002</v>
      </c>
      <c r="T12" s="185">
        <f>SUM(T8:T11)</f>
        <v>9702800.2860000022</v>
      </c>
      <c r="U12" s="110"/>
      <c r="V12" s="2"/>
      <c r="W12" s="2"/>
      <c r="X12" s="2"/>
      <c r="Y12" s="2"/>
      <c r="Z12" s="2"/>
    </row>
    <row r="13" spans="1:26" ht="12.75" customHeight="1" x14ac:dyDescent="0.2">
      <c r="A13" s="24"/>
      <c r="B13" s="111" t="s">
        <v>127</v>
      </c>
      <c r="C13" s="111"/>
      <c r="D13" s="193"/>
      <c r="E13" s="194">
        <v>1.1000000000000001</v>
      </c>
      <c r="F13" s="2"/>
      <c r="G13" s="111" t="s">
        <v>128</v>
      </c>
      <c r="H13" s="125"/>
      <c r="I13" s="182">
        <v>739414.14899999998</v>
      </c>
      <c r="J13" s="182">
        <v>1137840.115</v>
      </c>
      <c r="K13" s="182">
        <v>554823.96</v>
      </c>
      <c r="L13" s="186">
        <v>0</v>
      </c>
      <c r="M13" s="187">
        <v>0</v>
      </c>
      <c r="N13" s="195">
        <f>K13+M13-L13</f>
        <v>554823.96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-97141.880999999878</v>
      </c>
      <c r="J14" s="197">
        <v>-72077.404999999912</v>
      </c>
      <c r="K14" s="197">
        <v>-230135.21199999991</v>
      </c>
      <c r="L14" s="198">
        <v>0</v>
      </c>
      <c r="M14" s="199">
        <v>0</v>
      </c>
      <c r="N14" s="200">
        <f>K14+M14-L14</f>
        <v>-230135.21199999991</v>
      </c>
      <c r="O14" s="2"/>
      <c r="P14" s="111" t="s">
        <v>131</v>
      </c>
      <c r="Q14" s="123"/>
      <c r="R14" s="123"/>
      <c r="S14" s="182">
        <v>2021344.676</v>
      </c>
      <c r="T14" s="182">
        <v>1804722.959</v>
      </c>
      <c r="U14" s="110"/>
      <c r="V14" s="2"/>
      <c r="W14" s="2"/>
      <c r="X14" s="2"/>
      <c r="Y14" s="2"/>
      <c r="Z14" s="2"/>
    </row>
    <row r="15" spans="1:26" ht="12.75" customHeight="1" x14ac:dyDescent="0.2">
      <c r="A15" s="24"/>
      <c r="B15" s="2"/>
      <c r="C15" s="2"/>
      <c r="D15" s="2"/>
      <c r="E15" s="2"/>
      <c r="F15" s="2"/>
      <c r="G15" s="122" t="s">
        <v>132</v>
      </c>
      <c r="H15" s="125"/>
      <c r="I15" s="185">
        <f t="shared" ref="I15:N15" si="1">I12-SUM(I13:I14)</f>
        <v>469990.74799999874</v>
      </c>
      <c r="J15" s="185">
        <f t="shared" si="1"/>
        <v>766011.24500000197</v>
      </c>
      <c r="K15" s="185">
        <f t="shared" si="1"/>
        <v>460484.8390000012</v>
      </c>
      <c r="L15" s="191">
        <f t="shared" si="1"/>
        <v>0</v>
      </c>
      <c r="M15" s="192">
        <f t="shared" si="1"/>
        <v>0</v>
      </c>
      <c r="N15" s="185">
        <f t="shared" si="1"/>
        <v>460484.8390000012</v>
      </c>
      <c r="O15" s="2"/>
      <c r="P15" s="111" t="s">
        <v>133</v>
      </c>
      <c r="Q15" s="120"/>
      <c r="R15" s="120"/>
      <c r="S15" s="182">
        <v>321046.93900000001</v>
      </c>
      <c r="T15" s="182">
        <v>309887.75099999999</v>
      </c>
      <c r="U15" s="110"/>
      <c r="V15" s="2"/>
      <c r="W15" s="2"/>
      <c r="X15" s="2"/>
      <c r="Y15" s="2"/>
      <c r="Z15" s="2"/>
    </row>
    <row r="16" spans="1:26" ht="15" customHeight="1" x14ac:dyDescent="0.2">
      <c r="A16" s="24"/>
      <c r="B16" s="271" t="s">
        <v>134</v>
      </c>
      <c r="C16" s="269"/>
      <c r="D16" s="269"/>
      <c r="E16" s="269"/>
      <c r="F16" s="2"/>
      <c r="G16" s="111" t="s">
        <v>135</v>
      </c>
      <c r="H16" s="125"/>
      <c r="I16" s="182">
        <v>292679.83399999997</v>
      </c>
      <c r="J16" s="182">
        <v>207841.26</v>
      </c>
      <c r="K16" s="182">
        <v>219641.639</v>
      </c>
      <c r="L16" s="186">
        <v>0</v>
      </c>
      <c r="M16" s="187">
        <v>0</v>
      </c>
      <c r="N16" s="188">
        <f>K16+M16-L16</f>
        <v>219641.639</v>
      </c>
      <c r="O16" s="2"/>
      <c r="P16" s="111" t="s">
        <v>136</v>
      </c>
      <c r="Q16" s="123"/>
      <c r="R16" s="123"/>
      <c r="S16" s="182">
        <v>974323.43699999922</v>
      </c>
      <c r="T16" s="182">
        <v>4676501.2059999993</v>
      </c>
      <c r="U16" s="110"/>
      <c r="V16" s="2"/>
      <c r="W16" s="2"/>
      <c r="X16" s="2"/>
      <c r="Y16" s="2"/>
      <c r="Z16" s="2"/>
    </row>
    <row r="17" spans="1:26" ht="15" customHeight="1" x14ac:dyDescent="0.2">
      <c r="A17" s="24"/>
      <c r="B17" s="111" t="s">
        <v>137</v>
      </c>
      <c r="C17" s="111"/>
      <c r="D17" s="126">
        <v>0</v>
      </c>
      <c r="E17" s="201">
        <v>13350</v>
      </c>
      <c r="F17" s="2"/>
      <c r="G17" s="122" t="s">
        <v>138</v>
      </c>
      <c r="H17" s="111"/>
      <c r="I17" s="185">
        <f t="shared" ref="I17:N17" si="2">I15-SUM(I16)</f>
        <v>177310.91399999877</v>
      </c>
      <c r="J17" s="185">
        <f t="shared" si="2"/>
        <v>558169.98500000197</v>
      </c>
      <c r="K17" s="185">
        <f t="shared" si="2"/>
        <v>240843.2000000012</v>
      </c>
      <c r="L17" s="191">
        <f t="shared" si="2"/>
        <v>0</v>
      </c>
      <c r="M17" s="192">
        <f t="shared" si="2"/>
        <v>0</v>
      </c>
      <c r="N17" s="185">
        <f t="shared" si="2"/>
        <v>240843.2000000012</v>
      </c>
      <c r="O17" s="2"/>
      <c r="P17" s="124" t="s">
        <v>139</v>
      </c>
      <c r="Q17" s="120"/>
      <c r="R17" s="120"/>
      <c r="S17" s="202">
        <f>SUM(S12:S16)</f>
        <v>13519085.552999999</v>
      </c>
      <c r="T17" s="202">
        <f>SUM(T12:T16)</f>
        <v>16493912.202000003</v>
      </c>
      <c r="U17" s="110"/>
      <c r="V17" s="2"/>
      <c r="W17" s="2"/>
      <c r="X17" s="2"/>
      <c r="Y17" s="2"/>
      <c r="Z17" s="2"/>
    </row>
    <row r="18" spans="1:26" ht="12.75" customHeight="1" x14ac:dyDescent="0.2">
      <c r="A18" s="127"/>
      <c r="B18" s="128" t="s">
        <v>140</v>
      </c>
      <c r="C18" s="128"/>
      <c r="D18" s="129"/>
      <c r="E18" s="203">
        <f>+IF(ISERROR(E17/E19),"NA",E17/E19)</f>
        <v>0.65441176470588236</v>
      </c>
      <c r="F18" s="2"/>
      <c r="G18" s="111" t="s">
        <v>141</v>
      </c>
      <c r="H18" s="111"/>
      <c r="I18" s="182">
        <v>59902.349000000002</v>
      </c>
      <c r="J18" s="182">
        <v>105161.841</v>
      </c>
      <c r="K18" s="182">
        <v>43746.851000000002</v>
      </c>
      <c r="L18" s="186">
        <v>0</v>
      </c>
      <c r="M18" s="187">
        <v>0</v>
      </c>
      <c r="N18" s="195">
        <f>K18+M18-L18</f>
        <v>43746.851000000002</v>
      </c>
      <c r="O18" s="2"/>
      <c r="P18" s="111"/>
      <c r="Q18" s="111"/>
      <c r="R18" s="111"/>
      <c r="S18" s="111"/>
      <c r="T18" s="111"/>
      <c r="U18" s="110"/>
      <c r="V18" s="2"/>
      <c r="W18" s="2"/>
      <c r="X18" s="2"/>
      <c r="Y18" s="2"/>
      <c r="Z18" s="2"/>
    </row>
    <row r="19" spans="1:26" ht="15" customHeight="1" x14ac:dyDescent="0.2">
      <c r="A19" s="24"/>
      <c r="B19" s="111" t="s">
        <v>142</v>
      </c>
      <c r="C19" s="111"/>
      <c r="D19" s="204">
        <v>0</v>
      </c>
      <c r="E19" s="205">
        <v>20400</v>
      </c>
      <c r="F19" s="2"/>
      <c r="G19" s="111" t="s">
        <v>143</v>
      </c>
      <c r="H19" s="111"/>
      <c r="I19" s="197">
        <v>0</v>
      </c>
      <c r="J19" s="197">
        <v>0</v>
      </c>
      <c r="K19" s="197">
        <v>-25.931999999999999</v>
      </c>
      <c r="L19" s="198">
        <v>0</v>
      </c>
      <c r="M19" s="199">
        <v>0</v>
      </c>
      <c r="N19" s="206">
        <f>K19+M19-L19</f>
        <v>-25.931999999999999</v>
      </c>
      <c r="O19" s="2"/>
      <c r="P19" s="111" t="s">
        <v>144</v>
      </c>
      <c r="Q19" s="123"/>
      <c r="R19" s="123"/>
      <c r="S19" s="182">
        <v>855939.49199999997</v>
      </c>
      <c r="T19" s="182">
        <v>1470090.085</v>
      </c>
      <c r="U19" s="110"/>
      <c r="V19" s="2"/>
      <c r="W19" s="2"/>
      <c r="X19" s="2"/>
      <c r="Y19" s="2"/>
      <c r="Z19" s="2"/>
    </row>
    <row r="20" spans="1:26" ht="15" customHeight="1" x14ac:dyDescent="0.2">
      <c r="A20" s="24"/>
      <c r="B20" s="111" t="s">
        <v>145</v>
      </c>
      <c r="C20" s="111"/>
      <c r="D20" s="204">
        <v>0</v>
      </c>
      <c r="E20" s="205">
        <v>12800</v>
      </c>
      <c r="F20" s="2"/>
      <c r="G20" s="111" t="s">
        <v>146</v>
      </c>
      <c r="H20" s="111"/>
      <c r="I20" s="197">
        <v>0</v>
      </c>
      <c r="J20" s="197">
        <v>0</v>
      </c>
      <c r="K20" s="197">
        <v>0</v>
      </c>
      <c r="L20" s="198">
        <v>0</v>
      </c>
      <c r="M20" s="199">
        <v>0</v>
      </c>
      <c r="N20" s="200">
        <f>K20+M20-L20</f>
        <v>0</v>
      </c>
      <c r="O20" s="2"/>
      <c r="P20" s="111" t="s">
        <v>147</v>
      </c>
      <c r="Q20" s="190"/>
      <c r="R20" s="190"/>
      <c r="S20" s="182">
        <v>218843.799</v>
      </c>
      <c r="T20" s="182">
        <v>131611.75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117408.56499999877</v>
      </c>
      <c r="J21" s="202">
        <f t="shared" si="3"/>
        <v>453008.14400000195</v>
      </c>
      <c r="K21" s="202">
        <f t="shared" si="3"/>
        <v>197122.28100000121</v>
      </c>
      <c r="L21" s="207">
        <f t="shared" si="3"/>
        <v>0</v>
      </c>
      <c r="M21" s="208">
        <f t="shared" si="3"/>
        <v>0</v>
      </c>
      <c r="N21" s="202">
        <f t="shared" si="3"/>
        <v>197122.28100000121</v>
      </c>
      <c r="O21" s="2"/>
      <c r="P21" s="111" t="s">
        <v>150</v>
      </c>
      <c r="Q21" s="120"/>
      <c r="R21" s="120"/>
      <c r="S21" s="182">
        <v>6546103.4400000004</v>
      </c>
      <c r="T21" s="182">
        <v>4966615.9050000003</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0.33783791222237125</v>
      </c>
      <c r="J22" s="203">
        <f t="shared" si="4"/>
        <v>0.18840468643257419</v>
      </c>
      <c r="K22" s="203">
        <f t="shared" si="4"/>
        <v>0.18164038262238577</v>
      </c>
      <c r="L22" s="209" t="str">
        <f t="shared" si="4"/>
        <v>NA</v>
      </c>
      <c r="M22" s="210" t="str">
        <f t="shared" si="4"/>
        <v>NA</v>
      </c>
      <c r="N22" s="203">
        <f t="shared" si="4"/>
        <v>0.18164038262238577</v>
      </c>
      <c r="O22" s="2"/>
      <c r="P22" s="124" t="s">
        <v>152</v>
      </c>
      <c r="Q22" s="123"/>
      <c r="R22" s="123"/>
      <c r="S22" s="185">
        <f>SUM(S19:S21)</f>
        <v>7620886.7310000006</v>
      </c>
      <c r="T22" s="185">
        <f>SUM(T19:T21)</f>
        <v>6568317.7400000002</v>
      </c>
      <c r="U22" s="110"/>
      <c r="V22" s="2"/>
      <c r="W22" s="2"/>
      <c r="X22" s="2"/>
      <c r="Y22" s="2"/>
      <c r="Z22" s="2"/>
    </row>
    <row r="23" spans="1:26" ht="15" customHeight="1" x14ac:dyDescent="0.2">
      <c r="A23" s="24"/>
      <c r="B23" s="111" t="s">
        <v>153</v>
      </c>
      <c r="C23" s="111"/>
      <c r="D23" s="111"/>
      <c r="E23" s="211">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5975071.2613499993</v>
      </c>
      <c r="F24" s="2"/>
      <c r="G24" s="111" t="s">
        <v>155</v>
      </c>
      <c r="H24" s="111"/>
      <c r="I24" s="182">
        <v>447.57088099999999</v>
      </c>
      <c r="J24" s="182">
        <v>447.57088099999999</v>
      </c>
      <c r="K24" s="182">
        <v>447.57088099999999</v>
      </c>
      <c r="L24" s="186">
        <v>0</v>
      </c>
      <c r="M24" s="187">
        <v>0</v>
      </c>
      <c r="N24" s="195">
        <f>+IF(ISERROR(K24+M24-L24),"NA",K24+M24-L24)</f>
        <v>447.57088099999999</v>
      </c>
      <c r="O24" s="2"/>
      <c r="P24" s="133" t="s">
        <v>156</v>
      </c>
      <c r="Q24" s="120"/>
      <c r="R24" s="120"/>
      <c r="S24" s="182">
        <v>6311656.1229999997</v>
      </c>
      <c r="T24" s="182">
        <v>6867115.3449999997</v>
      </c>
      <c r="U24" s="110"/>
      <c r="V24" s="2"/>
      <c r="W24" s="2"/>
      <c r="X24" s="2"/>
      <c r="Y24" s="2"/>
      <c r="Z24" s="2"/>
    </row>
    <row r="25" spans="1:26" ht="15" customHeight="1" x14ac:dyDescent="0.2">
      <c r="A25" s="24"/>
      <c r="B25" s="111"/>
      <c r="C25" s="111"/>
      <c r="D25" s="111"/>
      <c r="E25" s="111"/>
      <c r="F25" s="2"/>
      <c r="G25" s="111" t="s">
        <v>157</v>
      </c>
      <c r="H25" s="111"/>
      <c r="I25" s="213">
        <f>IF(ISERROR(I21/I24),"NA",I21/I24)</f>
        <v>262.32395802353096</v>
      </c>
      <c r="J25" s="213">
        <f>+IF(ISERROR(J21/J24),"NA",J21/J24)</f>
        <v>1012.1483841572838</v>
      </c>
      <c r="K25" s="213">
        <f>+IF(ISERROR(K21/K24),"NA",K21/K24)</f>
        <v>440.42695664108948</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6867115.3449999997</v>
      </c>
      <c r="F26" s="2"/>
      <c r="G26" s="2"/>
      <c r="H26" s="2"/>
      <c r="I26" s="2"/>
      <c r="J26" s="2"/>
      <c r="K26" s="2"/>
      <c r="L26" s="2"/>
      <c r="M26" s="2"/>
      <c r="N26" s="2"/>
      <c r="O26" s="2"/>
      <c r="P26" s="124" t="s">
        <v>160</v>
      </c>
      <c r="Q26" s="111"/>
      <c r="R26" s="111"/>
      <c r="S26" s="185">
        <f>S22+SUM(S24:S25)</f>
        <v>13932542.854</v>
      </c>
      <c r="T26" s="185">
        <f>T22+SUM(T24:T25)</f>
        <v>13435433.085000001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-25.931999999999999</v>
      </c>
      <c r="F28" s="2"/>
      <c r="G28" s="271" t="s">
        <v>163</v>
      </c>
      <c r="H28" s="269"/>
      <c r="I28" s="269"/>
      <c r="J28" s="269"/>
      <c r="K28" s="269"/>
      <c r="L28" s="269"/>
      <c r="M28" s="269"/>
      <c r="N28" s="269"/>
      <c r="O28" s="2"/>
      <c r="P28" s="111" t="s">
        <v>143</v>
      </c>
      <c r="Q28" s="136"/>
      <c r="R28" s="136"/>
      <c r="S28" s="182">
        <v>0</v>
      </c>
      <c r="T28" s="182">
        <v>-25.931999999999999</v>
      </c>
      <c r="U28" s="110"/>
      <c r="V28" s="2"/>
      <c r="W28" s="2"/>
      <c r="X28" s="2"/>
      <c r="Y28" s="2"/>
      <c r="Z28" s="2"/>
    </row>
    <row r="29" spans="1:26" ht="15" customHeight="1" x14ac:dyDescent="0.2">
      <c r="A29" s="24"/>
      <c r="B29" s="111" t="s">
        <v>164</v>
      </c>
      <c r="C29" s="111"/>
      <c r="D29" s="111"/>
      <c r="E29" s="217">
        <f>-T8</f>
        <v>-838864.11</v>
      </c>
      <c r="F29" s="2"/>
      <c r="G29" s="111" t="s">
        <v>165</v>
      </c>
      <c r="H29" s="111"/>
      <c r="I29" s="218">
        <f t="shared" ref="I29:N29" si="5">I12</f>
        <v>1112263.0159999989</v>
      </c>
      <c r="J29" s="218">
        <f t="shared" si="5"/>
        <v>1831773.9550000019</v>
      </c>
      <c r="K29" s="218">
        <f t="shared" si="5"/>
        <v>785173.58700000122</v>
      </c>
      <c r="L29" s="219">
        <f t="shared" si="5"/>
        <v>0</v>
      </c>
      <c r="M29" s="220">
        <f t="shared" si="5"/>
        <v>0</v>
      </c>
      <c r="N29" s="218">
        <f t="shared" si="5"/>
        <v>785173.58700000122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12003296.56435</v>
      </c>
      <c r="F30" s="221"/>
      <c r="G30" s="111" t="s">
        <v>168</v>
      </c>
      <c r="H30" s="111"/>
      <c r="I30" s="223">
        <v>0</v>
      </c>
      <c r="J30" s="223">
        <v>0</v>
      </c>
      <c r="K30" s="223">
        <v>0</v>
      </c>
      <c r="L30" s="186">
        <v>0</v>
      </c>
      <c r="M30" s="187">
        <v>0</v>
      </c>
      <c r="N30" s="188">
        <f>K30+M30-L30</f>
        <v>0</v>
      </c>
      <c r="O30" s="2"/>
      <c r="P30" s="133" t="s">
        <v>169</v>
      </c>
      <c r="Q30" s="224"/>
      <c r="R30" s="224"/>
      <c r="S30" s="182">
        <v>5871406.574</v>
      </c>
      <c r="T30" s="182">
        <v>7635393.3449999997</v>
      </c>
      <c r="U30" s="2"/>
      <c r="V30" s="2"/>
      <c r="W30" s="2"/>
      <c r="X30" s="2"/>
      <c r="Y30" s="2"/>
      <c r="Z30" s="2"/>
    </row>
    <row r="31" spans="1:26" ht="15" customHeight="1" x14ac:dyDescent="0.2">
      <c r="A31" s="24"/>
      <c r="B31" s="2"/>
      <c r="C31" s="2"/>
      <c r="D31" s="2"/>
      <c r="E31" s="2"/>
      <c r="F31" s="221"/>
      <c r="G31" s="122" t="s">
        <v>170</v>
      </c>
      <c r="H31" s="111"/>
      <c r="I31" s="185">
        <f t="shared" ref="I31:N31" si="6">SUM(I29:I30)</f>
        <v>1112263.0159999989</v>
      </c>
      <c r="J31" s="185">
        <f t="shared" si="6"/>
        <v>1831773.9550000019</v>
      </c>
      <c r="K31" s="185">
        <f t="shared" si="6"/>
        <v>785173.58700000122</v>
      </c>
      <c r="L31" s="191">
        <f t="shared" si="6"/>
        <v>0</v>
      </c>
      <c r="M31" s="192">
        <f t="shared" si="6"/>
        <v>0</v>
      </c>
      <c r="N31" s="185">
        <f t="shared" si="6"/>
        <v>785173.58700000122</v>
      </c>
      <c r="O31" s="2"/>
      <c r="P31" s="124" t="s">
        <v>171</v>
      </c>
      <c r="Q31" s="224"/>
      <c r="R31" s="224"/>
      <c r="S31" s="202">
        <f>S26+SUM(S28:S30)</f>
        <v>19803949.427999999</v>
      </c>
      <c r="T31" s="202">
        <f>T26+SUM(T28:T30)</f>
        <v>21070800.498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5.9812032479049218E-2</v>
      </c>
      <c r="J32" s="203">
        <f t="shared" si="7"/>
        <v>8.8882138032187821E-2</v>
      </c>
      <c r="K32" s="203">
        <f t="shared" si="7"/>
        <v>5.3023088718985985E-2</v>
      </c>
      <c r="L32" s="209" t="str">
        <f t="shared" si="7"/>
        <v>NA</v>
      </c>
      <c r="M32" s="210" t="str">
        <f t="shared" si="7"/>
        <v>NA</v>
      </c>
      <c r="N32" s="203">
        <f t="shared" si="7"/>
        <v>5.3023088718985985E-2</v>
      </c>
      <c r="O32" s="2"/>
      <c r="P32" s="128" t="s">
        <v>174</v>
      </c>
      <c r="Q32" s="137"/>
      <c r="R32" s="137"/>
      <c r="S32" s="225">
        <f>S17-S31</f>
        <v>-6284863.875</v>
      </c>
      <c r="T32" s="225">
        <f>T17-T31</f>
        <v>-4576888.2959999964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469990.74799999874</v>
      </c>
      <c r="J34" s="218">
        <f t="shared" si="8"/>
        <v>766011.24500000197</v>
      </c>
      <c r="K34" s="218">
        <f t="shared" si="8"/>
        <v>460484.8390000012</v>
      </c>
      <c r="L34" s="227">
        <f t="shared" si="8"/>
        <v>0</v>
      </c>
      <c r="M34" s="228">
        <f t="shared" si="8"/>
        <v>0</v>
      </c>
      <c r="N34" s="218">
        <f t="shared" si="8"/>
        <v>460484.8390000012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0.81058745376750507</v>
      </c>
      <c r="D35" s="229">
        <f>IF(ISERROR($E$30/D36),"NA",$E$30/D36)</f>
        <v>0.83565716883247954</v>
      </c>
      <c r="E35" s="229">
        <f>IF(ISERROR($E$30/E36),"NA",$E$30/E36)</f>
        <v>0.85271139676783636</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447.57088099999999</v>
      </c>
      <c r="U35" s="110"/>
      <c r="V35" s="2"/>
      <c r="W35" s="2"/>
      <c r="X35" s="2"/>
      <c r="Y35" s="2"/>
      <c r="Z35" s="2"/>
    </row>
    <row r="36" spans="1:26" ht="15" customHeight="1" x14ac:dyDescent="0.2">
      <c r="A36" s="24"/>
      <c r="B36" s="111" t="s">
        <v>181</v>
      </c>
      <c r="C36" s="218">
        <f>N10</f>
        <v>14808145.017000001</v>
      </c>
      <c r="D36" s="180">
        <v>14363900.66649</v>
      </c>
      <c r="E36" s="180">
        <v>14076622.6531602</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14.591258758968289</v>
      </c>
      <c r="D37" s="229">
        <f>IF(ISERROR($E$30/D38),"NA",$E$30/D38)</f>
        <v>15.042534784774347</v>
      </c>
      <c r="E37" s="229">
        <f>IF(ISERROR($E$30/E38),"NA",$E$30/E38)</f>
        <v>15.349525290586069</v>
      </c>
      <c r="F37" s="2"/>
      <c r="G37" s="122" t="s">
        <v>185</v>
      </c>
      <c r="H37" s="111"/>
      <c r="I37" s="185">
        <f t="shared" ref="I37:N37" si="10">SUM(I34:I36)</f>
        <v>469990.74799999874</v>
      </c>
      <c r="J37" s="185">
        <f t="shared" si="10"/>
        <v>766011.24500000197</v>
      </c>
      <c r="K37" s="185">
        <f t="shared" si="10"/>
        <v>460484.8390000012</v>
      </c>
      <c r="L37" s="191">
        <f t="shared" si="10"/>
        <v>0</v>
      </c>
      <c r="M37" s="192">
        <f t="shared" si="10"/>
        <v>0</v>
      </c>
      <c r="N37" s="185">
        <f t="shared" si="10"/>
        <v>460484.8390000012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822636.12500000116</v>
      </c>
      <c r="D38" s="180">
        <v>797957.04221999983</v>
      </c>
      <c r="E38" s="180">
        <v>781997.90137559979</v>
      </c>
      <c r="F38" s="2"/>
      <c r="G38" s="128" t="s">
        <v>173</v>
      </c>
      <c r="H38" s="128"/>
      <c r="I38" s="203">
        <f t="shared" ref="I38:N38" si="11">IF(ISERROR(I37/I10),"NA",I37/I10)</f>
        <v>2.5273789993776604E-2</v>
      </c>
      <c r="J38" s="203">
        <f t="shared" si="11"/>
        <v>3.7168733088738644E-2</v>
      </c>
      <c r="K38" s="203">
        <f t="shared" si="11"/>
        <v>3.1096726731900372E-2</v>
      </c>
      <c r="L38" s="209" t="str">
        <f t="shared" si="11"/>
        <v>NA</v>
      </c>
      <c r="M38" s="210" t="str">
        <f t="shared" si="11"/>
        <v>NA</v>
      </c>
      <c r="N38" s="203">
        <f t="shared" si="11"/>
        <v>3.1096726731900372E-2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26.066648774836143</v>
      </c>
      <c r="D39" s="229">
        <f>IF(ISERROR($E$30/D40),"NA",$E$30/D40)</f>
        <v>26.872833730133248</v>
      </c>
      <c r="E39" s="229">
        <f>IF(ISERROR($E$30/E40),"NA",$E$30/E40)</f>
        <v>27.421258908299237</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460484.8390000012</v>
      </c>
      <c r="D40" s="180">
        <v>446670.29479999992</v>
      </c>
      <c r="E40" s="180">
        <v>437736.88890399988</v>
      </c>
      <c r="F40" s="237"/>
      <c r="G40" s="111" t="s">
        <v>190</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191</v>
      </c>
      <c r="Q40" s="111"/>
      <c r="R40" s="111"/>
      <c r="S40" s="111"/>
      <c r="T40" s="238">
        <f>T35+SUM(T38:T39)</f>
        <v>447.57088099999999</v>
      </c>
      <c r="U40" s="110"/>
      <c r="V40" s="2"/>
      <c r="W40" s="2"/>
      <c r="X40" s="2"/>
      <c r="Y40" s="2"/>
      <c r="Z40" s="2"/>
    </row>
    <row r="41" spans="1:26" ht="12.75" customHeight="1" x14ac:dyDescent="0.2">
      <c r="A41" s="24"/>
      <c r="B41" s="111" t="s">
        <v>192</v>
      </c>
      <c r="C41" s="229">
        <f>IF(ISERROR($E$17/N52),"NA",E17/N52)</f>
        <v>30.31149614867719</v>
      </c>
      <c r="D41" s="229">
        <f>IF(ISERROR($E$17/D42),"NA",$E$17/D42)</f>
        <v>30.448864154730408</v>
      </c>
      <c r="E41" s="229">
        <f>IF(ISERROR($E$17/E42),"NA",$E$17/E42)</f>
        <v>31.070269545643274</v>
      </c>
      <c r="F41" s="2"/>
      <c r="G41" s="122" t="s">
        <v>193</v>
      </c>
      <c r="H41" s="111"/>
      <c r="I41" s="185">
        <f t="shared" ref="I41:N41" si="13">I40+I37</f>
        <v>845818.23899999866</v>
      </c>
      <c r="J41" s="185">
        <f t="shared" si="13"/>
        <v>1136181.6390000018</v>
      </c>
      <c r="K41" s="185">
        <f t="shared" si="13"/>
        <v>822636.12500000116</v>
      </c>
      <c r="L41" s="191">
        <f t="shared" si="13"/>
        <v>0</v>
      </c>
      <c r="M41" s="192">
        <f t="shared" si="13"/>
        <v>0</v>
      </c>
      <c r="N41" s="185">
        <f t="shared" si="13"/>
        <v>822636.12500000116</v>
      </c>
      <c r="O41" s="2"/>
      <c r="P41" s="111"/>
      <c r="Q41" s="111"/>
      <c r="R41" s="111"/>
      <c r="S41" s="111"/>
      <c r="T41" s="111"/>
      <c r="U41" s="110"/>
      <c r="V41" s="2"/>
      <c r="W41" s="2"/>
      <c r="X41" s="2"/>
      <c r="Y41" s="2"/>
      <c r="Z41" s="2"/>
    </row>
    <row r="42" spans="1:26" ht="15" customHeight="1" x14ac:dyDescent="0.2">
      <c r="A42" s="24"/>
      <c r="B42" s="111" t="s">
        <v>181</v>
      </c>
      <c r="C42" s="213">
        <f>N52</f>
        <v>440.42695664108948</v>
      </c>
      <c r="D42" s="201">
        <v>438.44</v>
      </c>
      <c r="E42" s="201">
        <v>429.6712</v>
      </c>
      <c r="F42" s="2"/>
      <c r="G42" s="128" t="s">
        <v>173</v>
      </c>
      <c r="H42" s="128"/>
      <c r="I42" s="203">
        <f t="shared" ref="I42:N42" si="14">IF(ISERROR(I41/I10),"NA",I41/I10)</f>
        <v>4.5483943325182165E-2</v>
      </c>
      <c r="J42" s="203">
        <f t="shared" si="14"/>
        <v>5.5130303054906932E-2</v>
      </c>
      <c r="K42" s="203">
        <f t="shared" si="14"/>
        <v>5.5552949005807345E-2</v>
      </c>
      <c r="L42" s="209" t="str">
        <f t="shared" si="14"/>
        <v>NA</v>
      </c>
      <c r="M42" s="210" t="str">
        <f t="shared" si="14"/>
        <v>NA</v>
      </c>
      <c r="N42" s="203">
        <f t="shared" si="14"/>
        <v>5.5552949005807345E-2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117408.56499999877</v>
      </c>
      <c r="J44" s="218">
        <f t="shared" si="15"/>
        <v>453008.14400000195</v>
      </c>
      <c r="K44" s="218">
        <f t="shared" si="15"/>
        <v>197122.28100000121</v>
      </c>
      <c r="L44" s="227">
        <f t="shared" si="15"/>
        <v>0</v>
      </c>
      <c r="M44" s="228">
        <f t="shared" si="15"/>
        <v>0</v>
      </c>
      <c r="N44" s="218">
        <f t="shared" si="15"/>
        <v>197122.28100000121</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3.6180414269212625E-2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2.9188598658770316E-2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1.3135794205506294E-2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117408.56499999877</v>
      </c>
      <c r="J49" s="202">
        <f t="shared" si="19"/>
        <v>453008.14400000195</v>
      </c>
      <c r="K49" s="202">
        <f t="shared" si="19"/>
        <v>197122.28100000121</v>
      </c>
      <c r="L49" s="207">
        <f t="shared" si="19"/>
        <v>0</v>
      </c>
      <c r="M49" s="208">
        <f t="shared" si="19"/>
        <v>0</v>
      </c>
      <c r="N49" s="202">
        <f t="shared" si="19"/>
        <v>197122.28100000121</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6.3136549557793568E-3</v>
      </c>
      <c r="J50" s="203">
        <f t="shared" si="20"/>
        <v>2.1981059548754938E-2</v>
      </c>
      <c r="K50" s="203">
        <f t="shared" si="20"/>
        <v>1.3311747067151321E-2</v>
      </c>
      <c r="L50" s="209" t="str">
        <f t="shared" si="20"/>
        <v>NA</v>
      </c>
      <c r="M50" s="210" t="str">
        <f t="shared" si="20"/>
        <v>NA</v>
      </c>
      <c r="N50" s="203">
        <f t="shared" si="20"/>
        <v>1.3311747067151321E-2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8.3476948511104947</v>
      </c>
      <c r="F52" s="2"/>
      <c r="G52" s="111" t="s">
        <v>219</v>
      </c>
      <c r="H52" s="111"/>
      <c r="I52" s="213">
        <f t="shared" ref="I52:N52" si="21">IF(ISERROR(I49/I24),0,I49/I24)</f>
        <v>262.32395802353096</v>
      </c>
      <c r="J52" s="213">
        <f t="shared" si="21"/>
        <v>1012.1483841572838</v>
      </c>
      <c r="K52" s="213">
        <f t="shared" si="21"/>
        <v>440.42695664108948</v>
      </c>
      <c r="L52" s="214">
        <f t="shared" si="21"/>
        <v>0</v>
      </c>
      <c r="M52" s="215">
        <f t="shared" si="21"/>
        <v>0</v>
      </c>
      <c r="N52" s="213">
        <f t="shared" si="21"/>
        <v>440.42695664108948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7.3279680429788945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3.7453559750571759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-11.874451187281476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2.0965279675408048</v>
      </c>
      <c r="F56" s="2"/>
      <c r="G56" s="111" t="s">
        <v>190</v>
      </c>
      <c r="H56" s="111"/>
      <c r="I56" s="182">
        <v>375827.49099999998</v>
      </c>
      <c r="J56" s="182">
        <v>370170.39399999997</v>
      </c>
      <c r="K56" s="182">
        <v>362151.28600000002</v>
      </c>
      <c r="L56" s="252">
        <v>0</v>
      </c>
      <c r="M56" s="253">
        <v>0</v>
      </c>
      <c r="N56" s="195">
        <f>K56+M56-L56</f>
        <v>362151.28600000002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2.0210153331405561E-2</v>
      </c>
      <c r="J57" s="255">
        <f t="shared" si="22"/>
        <v>1.7961569966168295E-2</v>
      </c>
      <c r="K57" s="255">
        <f t="shared" si="22"/>
        <v>2.4456222273906977E-2</v>
      </c>
      <c r="L57" s="256" t="str">
        <f t="shared" si="22"/>
        <v>NA</v>
      </c>
      <c r="M57" s="257" t="str">
        <f t="shared" si="22"/>
        <v>NA</v>
      </c>
      <c r="N57" s="255">
        <f t="shared" si="22"/>
        <v>2.4456222273906977E-2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130230.497</v>
      </c>
      <c r="J58" s="182">
        <v>884430.18400000001</v>
      </c>
      <c r="K58" s="182">
        <v>3430760.0460000001</v>
      </c>
      <c r="L58" s="186">
        <v>0</v>
      </c>
      <c r="M58" s="187">
        <v>0</v>
      </c>
      <c r="N58" s="195">
        <f>K58+M58-L58</f>
        <v>3430760.0460000001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7.0031553726737682E-3</v>
      </c>
      <c r="J59" s="255">
        <f t="shared" si="23"/>
        <v>4.2914708706032013E-2</v>
      </c>
      <c r="K59" s="255">
        <f t="shared" si="23"/>
        <v>0.23168060834503104</v>
      </c>
      <c r="L59" s="258" t="str">
        <f t="shared" si="23"/>
        <v>NA</v>
      </c>
      <c r="M59" s="259" t="str">
        <f t="shared" si="23"/>
        <v>NA</v>
      </c>
      <c r="N59" s="255">
        <f t="shared" si="23"/>
        <v>0.23168060834503104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-0.28147270256299339</v>
      </c>
      <c r="D61" s="203">
        <f>IF(ISERROR(K41/J41-1),0,K41/J41-1)</f>
        <v>-0.27596425011406134</v>
      </c>
      <c r="E61" s="203">
        <f>IF(ISERROR(K52/J52-1),0,K52/J52-1)</f>
        <v>-0.56485929974804083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-0.10763842505073784</v>
      </c>
      <c r="D62" s="203">
        <f>IF(ISERROR((K41/I41)^(1/2)-1),0,(K41/I41)^(1/2)-1)</f>
        <v>-1.3799165751279374E-2</v>
      </c>
      <c r="E62" s="203">
        <f>IF(ISERROR((K52/I52)^(1/2)-1),0,(K52/I52)^(1/2)-1)</f>
        <v>0.29574030477770474</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-2.9999998820865459E-2</v>
      </c>
      <c r="E64" s="203">
        <f>IF(ISERROR(D42/K52-1),0,D42/K52-1)</f>
        <v>-4.5114328519829661E-3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-2.5012820004513103E-2</v>
      </c>
      <c r="E65" s="203">
        <f>IF(ISERROR((E42/K52)^(1/2)-1),0,(E42/K52)^(1/2)-1)</f>
        <v>-1.2286075928329976E-2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135720.622</v>
      </c>
      <c r="T8" s="180">
        <v>60338.803999999996</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643909.00100000005</v>
      </c>
      <c r="T9" s="182">
        <v>344585.84</v>
      </c>
      <c r="U9" s="110"/>
      <c r="V9" s="2"/>
      <c r="W9" s="2"/>
      <c r="X9" s="2"/>
      <c r="Y9" s="2"/>
      <c r="Z9" s="2"/>
    </row>
    <row r="10" spans="1:26" ht="15" customHeight="1" x14ac:dyDescent="0.2">
      <c r="A10" s="24"/>
      <c r="B10" s="111" t="s">
        <v>118</v>
      </c>
      <c r="C10" s="111"/>
      <c r="D10" s="121"/>
      <c r="E10" s="150">
        <v>46022</v>
      </c>
      <c r="F10" s="2"/>
      <c r="G10" s="122" t="s">
        <v>34</v>
      </c>
      <c r="H10" s="122"/>
      <c r="I10" s="180">
        <v>7555693.0609999998</v>
      </c>
      <c r="J10" s="180">
        <v>7321865.8300000001</v>
      </c>
      <c r="K10" s="180">
        <v>7318590.5640000002</v>
      </c>
      <c r="L10" s="183">
        <v>0</v>
      </c>
      <c r="M10" s="184">
        <v>0</v>
      </c>
      <c r="N10" s="185">
        <f>K10+M10-L10</f>
        <v>7318590.5640000002</v>
      </c>
      <c r="O10" s="2"/>
      <c r="P10" s="111" t="s">
        <v>119</v>
      </c>
      <c r="Q10" s="123"/>
      <c r="R10" s="123"/>
      <c r="S10" s="182">
        <v>546239.59299999999</v>
      </c>
      <c r="T10" s="182">
        <v>531443.28</v>
      </c>
      <c r="U10" s="110"/>
      <c r="V10" s="2"/>
      <c r="W10" s="2"/>
      <c r="X10" s="2"/>
      <c r="Y10" s="2"/>
      <c r="Z10" s="2"/>
    </row>
    <row r="11" spans="1:26" ht="15" customHeight="1" x14ac:dyDescent="0.2">
      <c r="A11" s="24"/>
      <c r="B11" s="111" t="s">
        <v>120</v>
      </c>
      <c r="C11" s="111"/>
      <c r="D11" s="117"/>
      <c r="E11" s="149" t="s">
        <v>121</v>
      </c>
      <c r="F11" s="2"/>
      <c r="G11" s="111" t="s">
        <v>122</v>
      </c>
      <c r="H11" s="111"/>
      <c r="I11" s="182">
        <v>7364782.4469999997</v>
      </c>
      <c r="J11" s="182">
        <v>7099875.1380000003</v>
      </c>
      <c r="K11" s="182">
        <v>7032910.983</v>
      </c>
      <c r="L11" s="186">
        <v>0</v>
      </c>
      <c r="M11" s="187">
        <v>0</v>
      </c>
      <c r="N11" s="188">
        <f>K11+M11-L11</f>
        <v>7032910.983</v>
      </c>
      <c r="O11" s="189"/>
      <c r="P11" s="111" t="s">
        <v>123</v>
      </c>
      <c r="Q11" s="190"/>
      <c r="R11" s="190"/>
      <c r="S11" s="182">
        <v>1095.9569999999369</v>
      </c>
      <c r="T11" s="182">
        <v>302560.34499999997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190910.61400000006</v>
      </c>
      <c r="J12" s="185">
        <f t="shared" si="0"/>
        <v>221990.69199999981</v>
      </c>
      <c r="K12" s="185">
        <f t="shared" si="0"/>
        <v>285679.58100000024</v>
      </c>
      <c r="L12" s="191">
        <f t="shared" si="0"/>
        <v>0</v>
      </c>
      <c r="M12" s="192">
        <f t="shared" si="0"/>
        <v>0</v>
      </c>
      <c r="N12" s="185">
        <f t="shared" si="0"/>
        <v>285679.58100000024</v>
      </c>
      <c r="O12" s="2"/>
      <c r="P12" s="124" t="s">
        <v>126</v>
      </c>
      <c r="Q12" s="120"/>
      <c r="R12" s="120"/>
      <c r="S12" s="185">
        <f>SUM(S8:S11)</f>
        <v>1326965.173</v>
      </c>
      <c r="T12" s="185">
        <f>SUM(T8:T11)</f>
        <v>1238928.2690000001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85211.687999999995</v>
      </c>
      <c r="J13" s="182">
        <v>78153.100000000006</v>
      </c>
      <c r="K13" s="182">
        <v>93949.351999999999</v>
      </c>
      <c r="L13" s="186">
        <v>0</v>
      </c>
      <c r="M13" s="187">
        <v>0</v>
      </c>
      <c r="N13" s="195">
        <f>K13+M13-L13</f>
        <v>93949.351999999999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-2757.3859999999991</v>
      </c>
      <c r="J14" s="197">
        <v>-11860.043999999991</v>
      </c>
      <c r="K14" s="197">
        <v>-80307.94</v>
      </c>
      <c r="L14" s="198">
        <v>0</v>
      </c>
      <c r="M14" s="199">
        <v>0</v>
      </c>
      <c r="N14" s="200">
        <f>K14+M14-L14</f>
        <v>-80307.94</v>
      </c>
      <c r="O14" s="2"/>
      <c r="P14" s="111" t="s">
        <v>131</v>
      </c>
      <c r="Q14" s="123"/>
      <c r="R14" s="123"/>
      <c r="S14" s="182">
        <v>107541.567</v>
      </c>
      <c r="T14" s="182">
        <v>104701.712</v>
      </c>
      <c r="U14" s="110"/>
      <c r="V14" s="2"/>
      <c r="W14" s="2"/>
      <c r="X14" s="2"/>
      <c r="Y14" s="2"/>
      <c r="Z14" s="2"/>
    </row>
    <row r="15" spans="1:26" ht="12.75" customHeight="1" x14ac:dyDescent="0.2">
      <c r="A15" s="24"/>
      <c r="B15" s="2"/>
      <c r="C15" s="2"/>
      <c r="D15" s="2"/>
      <c r="E15" s="2"/>
      <c r="F15" s="2"/>
      <c r="G15" s="122" t="s">
        <v>132</v>
      </c>
      <c r="H15" s="125"/>
      <c r="I15" s="185">
        <f t="shared" ref="I15:N15" si="1">I12-SUM(I13:I14)</f>
        <v>108456.31200000006</v>
      </c>
      <c r="J15" s="185">
        <f t="shared" si="1"/>
        <v>155697.63599999979</v>
      </c>
      <c r="K15" s="185">
        <f t="shared" si="1"/>
        <v>272038.16900000023</v>
      </c>
      <c r="L15" s="191">
        <f t="shared" si="1"/>
        <v>0</v>
      </c>
      <c r="M15" s="192">
        <f t="shared" si="1"/>
        <v>0</v>
      </c>
      <c r="N15" s="185">
        <f t="shared" si="1"/>
        <v>272038.16900000023</v>
      </c>
      <c r="O15" s="2"/>
      <c r="P15" s="111" t="s">
        <v>133</v>
      </c>
      <c r="Q15" s="120"/>
      <c r="R15" s="120"/>
      <c r="S15" s="182">
        <v>14361.061</v>
      </c>
      <c r="T15" s="182">
        <v>13923.826999999999</v>
      </c>
      <c r="U15" s="110"/>
      <c r="V15" s="2"/>
      <c r="W15" s="2"/>
      <c r="X15" s="2"/>
      <c r="Y15" s="2"/>
      <c r="Z15" s="2"/>
    </row>
    <row r="16" spans="1:26" ht="15" customHeight="1" x14ac:dyDescent="0.2">
      <c r="A16" s="24"/>
      <c r="B16" s="271" t="s">
        <v>134</v>
      </c>
      <c r="C16" s="269"/>
      <c r="D16" s="269"/>
      <c r="E16" s="269"/>
      <c r="F16" s="2"/>
      <c r="G16" s="111" t="s">
        <v>135</v>
      </c>
      <c r="H16" s="125"/>
      <c r="I16" s="182">
        <v>36166.019999999997</v>
      </c>
      <c r="J16" s="182">
        <v>20776.917000000001</v>
      </c>
      <c r="K16" s="182">
        <v>17944.805</v>
      </c>
      <c r="L16" s="186">
        <v>0</v>
      </c>
      <c r="M16" s="187">
        <v>0</v>
      </c>
      <c r="N16" s="188">
        <f>K16+M16-L16</f>
        <v>17944.805</v>
      </c>
      <c r="O16" s="2"/>
      <c r="P16" s="111" t="s">
        <v>136</v>
      </c>
      <c r="Q16" s="123"/>
      <c r="R16" s="123"/>
      <c r="S16" s="182">
        <v>885227.99300000025</v>
      </c>
      <c r="T16" s="182">
        <v>971840.09399999958</v>
      </c>
      <c r="U16" s="110"/>
      <c r="V16" s="2"/>
      <c r="W16" s="2"/>
      <c r="X16" s="2"/>
      <c r="Y16" s="2"/>
      <c r="Z16" s="2"/>
    </row>
    <row r="17" spans="1:26" ht="15" customHeight="1" x14ac:dyDescent="0.2">
      <c r="A17" s="24"/>
      <c r="B17" s="111" t="s">
        <v>137</v>
      </c>
      <c r="C17" s="111"/>
      <c r="D17" s="126">
        <v>0</v>
      </c>
      <c r="E17" s="201">
        <v>21200</v>
      </c>
      <c r="F17" s="2"/>
      <c r="G17" s="122" t="s">
        <v>138</v>
      </c>
      <c r="H17" s="111"/>
      <c r="I17" s="185">
        <f t="shared" ref="I17:N17" si="2">I15-SUM(I16)</f>
        <v>72290.292000000074</v>
      </c>
      <c r="J17" s="185">
        <f t="shared" si="2"/>
        <v>134920.71899999981</v>
      </c>
      <c r="K17" s="185">
        <f t="shared" si="2"/>
        <v>254093.36400000023</v>
      </c>
      <c r="L17" s="191">
        <f t="shared" si="2"/>
        <v>0</v>
      </c>
      <c r="M17" s="192">
        <f t="shared" si="2"/>
        <v>0</v>
      </c>
      <c r="N17" s="185">
        <f t="shared" si="2"/>
        <v>254093.36400000023</v>
      </c>
      <c r="O17" s="2"/>
      <c r="P17" s="124" t="s">
        <v>139</v>
      </c>
      <c r="Q17" s="120"/>
      <c r="R17" s="120"/>
      <c r="S17" s="202">
        <f>SUM(S12:S16)</f>
        <v>2334095.7940000002</v>
      </c>
      <c r="T17" s="202">
        <f>SUM(T12:T16)</f>
        <v>2329393.9019999998</v>
      </c>
      <c r="U17" s="110"/>
      <c r="V17" s="2"/>
      <c r="W17" s="2"/>
      <c r="X17" s="2"/>
      <c r="Y17" s="2"/>
      <c r="Z17" s="2"/>
    </row>
    <row r="18" spans="1:26" ht="12.75" customHeight="1" x14ac:dyDescent="0.2">
      <c r="A18" s="127"/>
      <c r="B18" s="128" t="s">
        <v>140</v>
      </c>
      <c r="C18" s="128"/>
      <c r="D18" s="129"/>
      <c r="E18" s="203">
        <f>+IF(ISERROR(E17/E19),"NA",E17/E19)</f>
        <v>0.62362112075305187</v>
      </c>
      <c r="F18" s="2"/>
      <c r="G18" s="111" t="s">
        <v>141</v>
      </c>
      <c r="H18" s="111"/>
      <c r="I18" s="182">
        <v>14212.699000000001</v>
      </c>
      <c r="J18" s="182">
        <v>25050.855</v>
      </c>
      <c r="K18" s="182">
        <v>37052.347999999998</v>
      </c>
      <c r="L18" s="186">
        <v>0</v>
      </c>
      <c r="M18" s="187">
        <v>0</v>
      </c>
      <c r="N18" s="195">
        <f>K18+M18-L18</f>
        <v>37052.347999999998</v>
      </c>
      <c r="O18" s="2"/>
      <c r="P18" s="111"/>
      <c r="Q18" s="111"/>
      <c r="R18" s="111"/>
      <c r="S18" s="111"/>
      <c r="T18" s="111"/>
      <c r="U18" s="110"/>
      <c r="V18" s="2"/>
      <c r="W18" s="2"/>
      <c r="X18" s="2"/>
      <c r="Y18" s="2"/>
      <c r="Z18" s="2"/>
    </row>
    <row r="19" spans="1:26" ht="15" customHeight="1" x14ac:dyDescent="0.2">
      <c r="A19" s="24"/>
      <c r="B19" s="111" t="s">
        <v>142</v>
      </c>
      <c r="C19" s="111"/>
      <c r="D19" s="204">
        <v>0</v>
      </c>
      <c r="E19" s="205">
        <v>33995</v>
      </c>
      <c r="F19" s="2"/>
      <c r="G19" s="111" t="s">
        <v>143</v>
      </c>
      <c r="H19" s="111"/>
      <c r="I19" s="197">
        <v>10.89</v>
      </c>
      <c r="J19" s="197">
        <v>15.259</v>
      </c>
      <c r="K19" s="197">
        <v>22.981999999999999</v>
      </c>
      <c r="L19" s="198">
        <v>0</v>
      </c>
      <c r="M19" s="199">
        <v>0</v>
      </c>
      <c r="N19" s="206">
        <f>K19+M19-L19</f>
        <v>22.981999999999999</v>
      </c>
      <c r="O19" s="2"/>
      <c r="P19" s="111" t="s">
        <v>144</v>
      </c>
      <c r="Q19" s="123"/>
      <c r="R19" s="123"/>
      <c r="S19" s="182">
        <v>393220.67599999998</v>
      </c>
      <c r="T19" s="182">
        <v>128835.16800000001</v>
      </c>
      <c r="U19" s="110"/>
      <c r="V19" s="2"/>
      <c r="W19" s="2"/>
      <c r="X19" s="2"/>
      <c r="Y19" s="2"/>
      <c r="Z19" s="2"/>
    </row>
    <row r="20" spans="1:26" ht="15" customHeight="1" x14ac:dyDescent="0.2">
      <c r="A20" s="24"/>
      <c r="B20" s="111" t="s">
        <v>145</v>
      </c>
      <c r="C20" s="111"/>
      <c r="D20" s="204">
        <v>0</v>
      </c>
      <c r="E20" s="205">
        <v>20588</v>
      </c>
      <c r="F20" s="2"/>
      <c r="G20" s="111" t="s">
        <v>146</v>
      </c>
      <c r="H20" s="111"/>
      <c r="I20" s="197">
        <v>0</v>
      </c>
      <c r="J20" s="197">
        <v>0</v>
      </c>
      <c r="K20" s="197">
        <v>0</v>
      </c>
      <c r="L20" s="198">
        <v>0</v>
      </c>
      <c r="M20" s="199">
        <v>0</v>
      </c>
      <c r="N20" s="200">
        <f>K20+M20-L20</f>
        <v>0</v>
      </c>
      <c r="O20" s="2"/>
      <c r="P20" s="111" t="s">
        <v>147</v>
      </c>
      <c r="Q20" s="190"/>
      <c r="R20" s="190"/>
      <c r="S20" s="182">
        <v>31881.495999999999</v>
      </c>
      <c r="T20" s="182">
        <v>52707.196000000004</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58066.703000000074</v>
      </c>
      <c r="J21" s="202">
        <f t="shared" si="3"/>
        <v>109854.60499999981</v>
      </c>
      <c r="K21" s="202">
        <f t="shared" si="3"/>
        <v>217018.03400000022</v>
      </c>
      <c r="L21" s="207">
        <f t="shared" si="3"/>
        <v>0</v>
      </c>
      <c r="M21" s="208">
        <f t="shared" si="3"/>
        <v>0</v>
      </c>
      <c r="N21" s="202">
        <f t="shared" si="3"/>
        <v>217018.03400000022</v>
      </c>
      <c r="O21" s="2"/>
      <c r="P21" s="111" t="s">
        <v>150</v>
      </c>
      <c r="Q21" s="120"/>
      <c r="R21" s="120"/>
      <c r="S21" s="182">
        <v>618682.20499999996</v>
      </c>
      <c r="T21" s="182">
        <v>644058.946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0.19660591494083307</v>
      </c>
      <c r="J22" s="203">
        <f t="shared" si="4"/>
        <v>0.18567092723542361</v>
      </c>
      <c r="K22" s="203">
        <f t="shared" si="4"/>
        <v>0.14582178541270352</v>
      </c>
      <c r="L22" s="209" t="str">
        <f t="shared" si="4"/>
        <v>NA</v>
      </c>
      <c r="M22" s="210" t="str">
        <f t="shared" si="4"/>
        <v>NA</v>
      </c>
      <c r="N22" s="203">
        <f t="shared" si="4"/>
        <v>0.14582178541270352</v>
      </c>
      <c r="O22" s="2"/>
      <c r="P22" s="124" t="s">
        <v>152</v>
      </c>
      <c r="Q22" s="123"/>
      <c r="R22" s="123"/>
      <c r="S22" s="185">
        <f>SUM(S19:S21)</f>
        <v>1043784.3769999999</v>
      </c>
      <c r="T22" s="185">
        <f>SUM(T19:T21)</f>
        <v>825601.31</v>
      </c>
      <c r="U22" s="110"/>
      <c r="V22" s="2"/>
      <c r="W22" s="2"/>
      <c r="X22" s="2"/>
      <c r="Y22" s="2"/>
      <c r="Z22" s="2"/>
    </row>
    <row r="23" spans="1:26" ht="15" customHeight="1" x14ac:dyDescent="0.2">
      <c r="A23" s="24"/>
      <c r="B23" s="111" t="s">
        <v>153</v>
      </c>
      <c r="C23" s="111"/>
      <c r="D23" s="111"/>
      <c r="E23" s="211">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1304312.0859999999</v>
      </c>
      <c r="F24" s="2"/>
      <c r="G24" s="111" t="s">
        <v>155</v>
      </c>
      <c r="H24" s="111"/>
      <c r="I24" s="182">
        <v>61.524155</v>
      </c>
      <c r="J24" s="182">
        <v>61.524155</v>
      </c>
      <c r="K24" s="182">
        <v>61.524155</v>
      </c>
      <c r="L24" s="186">
        <v>0</v>
      </c>
      <c r="M24" s="187">
        <v>0</v>
      </c>
      <c r="N24" s="195">
        <f>+IF(ISERROR(K24+M24-L24),"NA",K24+M24-L24)</f>
        <v>61.524155</v>
      </c>
      <c r="O24" s="2"/>
      <c r="P24" s="133" t="s">
        <v>156</v>
      </c>
      <c r="Q24" s="120"/>
      <c r="R24" s="120"/>
      <c r="S24" s="182">
        <v>782407.80299999996</v>
      </c>
      <c r="T24" s="182">
        <v>571928.55900000001</v>
      </c>
      <c r="U24" s="110"/>
      <c r="V24" s="2"/>
      <c r="W24" s="2"/>
      <c r="X24" s="2"/>
      <c r="Y24" s="2"/>
      <c r="Z24" s="2"/>
    </row>
    <row r="25" spans="1:26" ht="15" customHeight="1" x14ac:dyDescent="0.2">
      <c r="A25" s="24"/>
      <c r="B25" s="111"/>
      <c r="C25" s="111"/>
      <c r="D25" s="111"/>
      <c r="E25" s="111"/>
      <c r="F25" s="2"/>
      <c r="G25" s="111" t="s">
        <v>157</v>
      </c>
      <c r="H25" s="111"/>
      <c r="I25" s="213">
        <f>IF(ISERROR(I21/I24),"NA",I21/I24)</f>
        <v>943.80334033031534</v>
      </c>
      <c r="J25" s="213">
        <f>+IF(ISERROR(J21/J24),"NA",J21/J24)</f>
        <v>1785.5524387128894</v>
      </c>
      <c r="K25" s="213">
        <f>+IF(ISERROR(K21/K24),"NA",K21/K24)</f>
        <v>3527.3630982822961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571928.55900000001</v>
      </c>
      <c r="F26" s="2"/>
      <c r="G26" s="2"/>
      <c r="H26" s="2"/>
      <c r="I26" s="2"/>
      <c r="J26" s="2"/>
      <c r="K26" s="2"/>
      <c r="L26" s="2"/>
      <c r="M26" s="2"/>
      <c r="N26" s="2"/>
      <c r="O26" s="2"/>
      <c r="P26" s="124" t="s">
        <v>160</v>
      </c>
      <c r="Q26" s="111"/>
      <c r="R26" s="111"/>
      <c r="S26" s="185">
        <f>S22+SUM(S24:S25)</f>
        <v>1826192.1799999997</v>
      </c>
      <c r="T26" s="185">
        <f>T22+SUM(T24:T25)</f>
        <v>1397529.8689999999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22.981999999999999</v>
      </c>
      <c r="F28" s="2"/>
      <c r="G28" s="271" t="s">
        <v>163</v>
      </c>
      <c r="H28" s="269"/>
      <c r="I28" s="269"/>
      <c r="J28" s="269"/>
      <c r="K28" s="269"/>
      <c r="L28" s="269"/>
      <c r="M28" s="269"/>
      <c r="N28" s="269"/>
      <c r="O28" s="2"/>
      <c r="P28" s="111" t="s">
        <v>143</v>
      </c>
      <c r="Q28" s="136"/>
      <c r="R28" s="136"/>
      <c r="S28" s="182">
        <v>15.259</v>
      </c>
      <c r="T28" s="182">
        <v>22.981999999999999</v>
      </c>
      <c r="U28" s="110"/>
      <c r="V28" s="2"/>
      <c r="W28" s="2"/>
      <c r="X28" s="2"/>
      <c r="Y28" s="2"/>
      <c r="Z28" s="2"/>
    </row>
    <row r="29" spans="1:26" ht="15" customHeight="1" x14ac:dyDescent="0.2">
      <c r="A29" s="24"/>
      <c r="B29" s="111" t="s">
        <v>164</v>
      </c>
      <c r="C29" s="111"/>
      <c r="D29" s="111"/>
      <c r="E29" s="217">
        <f>-T8</f>
        <v>-60338.803999999996</v>
      </c>
      <c r="F29" s="2"/>
      <c r="G29" s="111" t="s">
        <v>165</v>
      </c>
      <c r="H29" s="111"/>
      <c r="I29" s="218">
        <f t="shared" ref="I29:N29" si="5">I12</f>
        <v>190910.61400000006</v>
      </c>
      <c r="J29" s="218">
        <f t="shared" si="5"/>
        <v>221990.69199999981</v>
      </c>
      <c r="K29" s="218">
        <f t="shared" si="5"/>
        <v>285679.58100000024</v>
      </c>
      <c r="L29" s="219">
        <f t="shared" si="5"/>
        <v>0</v>
      </c>
      <c r="M29" s="220">
        <f t="shared" si="5"/>
        <v>0</v>
      </c>
      <c r="N29" s="218">
        <f t="shared" si="5"/>
        <v>285679.58100000024</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1815924.8230000001</v>
      </c>
      <c r="F30" s="221"/>
      <c r="G30" s="111" t="s">
        <v>168</v>
      </c>
      <c r="H30" s="111"/>
      <c r="I30" s="223">
        <v>0</v>
      </c>
      <c r="J30" s="223">
        <v>0</v>
      </c>
      <c r="K30" s="223">
        <v>0</v>
      </c>
      <c r="L30" s="186">
        <v>0</v>
      </c>
      <c r="M30" s="187">
        <v>0</v>
      </c>
      <c r="N30" s="188">
        <f>K30+M30-L30</f>
        <v>0</v>
      </c>
      <c r="O30" s="2"/>
      <c r="P30" s="133" t="s">
        <v>169</v>
      </c>
      <c r="Q30" s="224"/>
      <c r="R30" s="224"/>
      <c r="S30" s="182">
        <v>1084580.5789999999</v>
      </c>
      <c r="T30" s="182">
        <v>1295742.236</v>
      </c>
      <c r="U30" s="2"/>
      <c r="V30" s="2"/>
      <c r="W30" s="2"/>
      <c r="X30" s="2"/>
      <c r="Y30" s="2"/>
      <c r="Z30" s="2"/>
    </row>
    <row r="31" spans="1:26" ht="15" customHeight="1" x14ac:dyDescent="0.2">
      <c r="A31" s="24"/>
      <c r="B31" s="2"/>
      <c r="C31" s="2"/>
      <c r="D31" s="2"/>
      <c r="E31" s="2"/>
      <c r="F31" s="221"/>
      <c r="G31" s="122" t="s">
        <v>170</v>
      </c>
      <c r="H31" s="111"/>
      <c r="I31" s="185">
        <f t="shared" ref="I31:N31" si="6">SUM(I29:I30)</f>
        <v>190910.61400000006</v>
      </c>
      <c r="J31" s="185">
        <f t="shared" si="6"/>
        <v>221990.69199999981</v>
      </c>
      <c r="K31" s="185">
        <f t="shared" si="6"/>
        <v>285679.58100000024</v>
      </c>
      <c r="L31" s="191">
        <f t="shared" si="6"/>
        <v>0</v>
      </c>
      <c r="M31" s="192">
        <f t="shared" si="6"/>
        <v>0</v>
      </c>
      <c r="N31" s="185">
        <f t="shared" si="6"/>
        <v>285679.58100000024</v>
      </c>
      <c r="O31" s="2"/>
      <c r="P31" s="124" t="s">
        <v>171</v>
      </c>
      <c r="Q31" s="224"/>
      <c r="R31" s="224"/>
      <c r="S31" s="202">
        <f>S26+SUM(S28:S30)</f>
        <v>2910788.0179999997</v>
      </c>
      <c r="T31" s="202">
        <f>T26+SUM(T28:T30)</f>
        <v>2693295.0870000003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2.5267121422046349E-2</v>
      </c>
      <c r="J32" s="203">
        <f t="shared" si="7"/>
        <v>3.0318869145407407E-2</v>
      </c>
      <c r="K32" s="203">
        <f t="shared" si="7"/>
        <v>3.9034781151066483E-2</v>
      </c>
      <c r="L32" s="209" t="str">
        <f t="shared" si="7"/>
        <v>NA</v>
      </c>
      <c r="M32" s="210" t="str">
        <f t="shared" si="7"/>
        <v>NA</v>
      </c>
      <c r="N32" s="203">
        <f t="shared" si="7"/>
        <v>3.9034781151066483E-2</v>
      </c>
      <c r="O32" s="2"/>
      <c r="P32" s="128" t="s">
        <v>174</v>
      </c>
      <c r="Q32" s="137"/>
      <c r="R32" s="137"/>
      <c r="S32" s="225">
        <f>S17-S31</f>
        <v>-576692.22399999946</v>
      </c>
      <c r="T32" s="225">
        <f>T17-T31</f>
        <v>-363901.18500000052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108456.31200000006</v>
      </c>
      <c r="J34" s="218">
        <f t="shared" si="8"/>
        <v>155697.63599999979</v>
      </c>
      <c r="K34" s="218">
        <f t="shared" si="8"/>
        <v>272038.16900000023</v>
      </c>
      <c r="L34" s="227">
        <f t="shared" si="8"/>
        <v>0</v>
      </c>
      <c r="M34" s="228">
        <f t="shared" si="8"/>
        <v>0</v>
      </c>
      <c r="N34" s="218">
        <f t="shared" si="8"/>
        <v>272038.16900000023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0.24812493705174571</v>
      </c>
      <c r="D35" s="229">
        <f>IF(ISERROR($E$30/D36),"NA",$E$30/D36)</f>
        <v>0.24996542057081686</v>
      </c>
      <c r="E35" s="229">
        <f>IF(ISERROR($E$30/E36),"NA",$E$30/E36)</f>
        <v>0.25148378436164409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61.524155</v>
      </c>
      <c r="U35" s="110"/>
      <c r="V35" s="2"/>
      <c r="W35" s="2"/>
      <c r="X35" s="2"/>
      <c r="Y35" s="2"/>
      <c r="Z35" s="2"/>
    </row>
    <row r="36" spans="1:26" ht="15" customHeight="1" x14ac:dyDescent="0.2">
      <c r="A36" s="24"/>
      <c r="B36" s="111" t="s">
        <v>181</v>
      </c>
      <c r="C36" s="218">
        <f>N10</f>
        <v>7318590.5640000002</v>
      </c>
      <c r="D36" s="180">
        <v>7264704.1292879013</v>
      </c>
      <c r="E36" s="180">
        <v>7220842.5986966426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6.3930494726265668</v>
      </c>
      <c r="D37" s="229">
        <f>IF(ISERROR($E$30/D38),"NA",$E$30/D38)</f>
        <v>6.4404703499103499</v>
      </c>
      <c r="E37" s="229">
        <f>IF(ISERROR($E$30/E38),"NA",$E$30/E38)</f>
        <v>6.47959166898268</v>
      </c>
      <c r="F37" s="2"/>
      <c r="G37" s="122" t="s">
        <v>185</v>
      </c>
      <c r="H37" s="111"/>
      <c r="I37" s="185">
        <f t="shared" ref="I37:N37" si="10">SUM(I34:I36)</f>
        <v>108456.31200000006</v>
      </c>
      <c r="J37" s="185">
        <f t="shared" si="10"/>
        <v>155697.63599999979</v>
      </c>
      <c r="K37" s="185">
        <f t="shared" si="10"/>
        <v>272038.16900000023</v>
      </c>
      <c r="L37" s="191">
        <f t="shared" si="10"/>
        <v>0</v>
      </c>
      <c r="M37" s="192">
        <f t="shared" si="10"/>
        <v>0</v>
      </c>
      <c r="N37" s="185">
        <f t="shared" si="10"/>
        <v>272038.16900000023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284046.73400000023</v>
      </c>
      <c r="D38" s="180">
        <v>281955.31138890772</v>
      </c>
      <c r="E38" s="180">
        <v>280252.97206499852</v>
      </c>
      <c r="F38" s="2"/>
      <c r="G38" s="128" t="s">
        <v>173</v>
      </c>
      <c r="H38" s="128"/>
      <c r="I38" s="203">
        <f t="shared" ref="I38:N38" si="11">IF(ISERROR(I37/I10),"NA",I37/I10)</f>
        <v>1.4354250645756884E-2</v>
      </c>
      <c r="J38" s="203">
        <f t="shared" si="11"/>
        <v>2.1264748578437114E-2</v>
      </c>
      <c r="K38" s="203">
        <f t="shared" si="11"/>
        <v>3.7170841382786257E-2</v>
      </c>
      <c r="L38" s="209" t="str">
        <f t="shared" si="11"/>
        <v>NA</v>
      </c>
      <c r="M38" s="210" t="str">
        <f t="shared" si="11"/>
        <v>NA</v>
      </c>
      <c r="N38" s="203">
        <f t="shared" si="11"/>
        <v>3.7170841382786257E-2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6.675257481974886</v>
      </c>
      <c r="D39" s="229">
        <f>IF(ISERROR($E$30/D40),"NA",$E$30/D40)</f>
        <v>6.7247716562739841</v>
      </c>
      <c r="E39" s="229">
        <f>IF(ISERROR($E$30/E40),"NA",$E$30/E40)</f>
        <v>6.7656199054484123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272038.16900000023</v>
      </c>
      <c r="D40" s="180">
        <v>270035.16488263267</v>
      </c>
      <c r="E40" s="180">
        <v>268404.79488621879</v>
      </c>
      <c r="F40" s="237"/>
      <c r="G40" s="111" t="s">
        <v>190</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191</v>
      </c>
      <c r="Q40" s="111"/>
      <c r="R40" s="111"/>
      <c r="S40" s="111"/>
      <c r="T40" s="238">
        <f>T35+SUM(T38:T39)</f>
        <v>61.524155</v>
      </c>
      <c r="U40" s="110"/>
      <c r="V40" s="2"/>
      <c r="W40" s="2"/>
      <c r="X40" s="2"/>
      <c r="Y40" s="2"/>
      <c r="Z40" s="2"/>
    </row>
    <row r="41" spans="1:26" ht="12.75" customHeight="1" x14ac:dyDescent="0.2">
      <c r="A41" s="24"/>
      <c r="B41" s="111" t="s">
        <v>192</v>
      </c>
      <c r="C41" s="229">
        <f>IF(ISERROR($E$17/N52),"NA",E17/N52)</f>
        <v>6.0101552942830487</v>
      </c>
      <c r="D41" s="229">
        <f>IF(ISERROR($E$17/D42),"NA",$E$17/D42)</f>
        <v>6.2229756513044503</v>
      </c>
      <c r="E41" s="229">
        <f>IF(ISERROR($E$17/E42),"NA",$E$17/E42)</f>
        <v>6.2607758433412668</v>
      </c>
      <c r="F41" s="2"/>
      <c r="G41" s="122" t="s">
        <v>193</v>
      </c>
      <c r="H41" s="111"/>
      <c r="I41" s="185">
        <f t="shared" ref="I41:N41" si="13">I40+I37</f>
        <v>123015.53900000006</v>
      </c>
      <c r="J41" s="185">
        <f t="shared" si="13"/>
        <v>168317.84099999978</v>
      </c>
      <c r="K41" s="185">
        <f t="shared" si="13"/>
        <v>284046.73400000023</v>
      </c>
      <c r="L41" s="191">
        <f t="shared" si="13"/>
        <v>0</v>
      </c>
      <c r="M41" s="192">
        <f t="shared" si="13"/>
        <v>0</v>
      </c>
      <c r="N41" s="185">
        <f t="shared" si="13"/>
        <v>284046.73400000023</v>
      </c>
      <c r="O41" s="2"/>
      <c r="P41" s="111"/>
      <c r="Q41" s="111"/>
      <c r="R41" s="111"/>
      <c r="S41" s="111"/>
      <c r="T41" s="111"/>
      <c r="U41" s="110"/>
      <c r="V41" s="2"/>
      <c r="W41" s="2"/>
      <c r="X41" s="2"/>
      <c r="Y41" s="2"/>
      <c r="Z41" s="2"/>
    </row>
    <row r="42" spans="1:26" ht="15" customHeight="1" x14ac:dyDescent="0.2">
      <c r="A42" s="24"/>
      <c r="B42" s="111" t="s">
        <v>181</v>
      </c>
      <c r="C42" s="213">
        <f>N52</f>
        <v>3527.3630982822961</v>
      </c>
      <c r="D42" s="201">
        <v>3406.7303470094871</v>
      </c>
      <c r="E42" s="201">
        <v>3386.1618001461511</v>
      </c>
      <c r="F42" s="2"/>
      <c r="G42" s="128" t="s">
        <v>173</v>
      </c>
      <c r="H42" s="128"/>
      <c r="I42" s="203">
        <f t="shared" ref="I42:N42" si="14">IF(ISERROR(I41/I10),"NA",I41/I10)</f>
        <v>1.6281172091937638E-2</v>
      </c>
      <c r="J42" s="203">
        <f t="shared" si="14"/>
        <v>2.2988380954803673E-2</v>
      </c>
      <c r="K42" s="203">
        <f t="shared" si="14"/>
        <v>3.8811671662194139E-2</v>
      </c>
      <c r="L42" s="209" t="str">
        <f t="shared" si="14"/>
        <v>NA</v>
      </c>
      <c r="M42" s="210" t="str">
        <f t="shared" si="14"/>
        <v>NA</v>
      </c>
      <c r="N42" s="203">
        <f t="shared" si="14"/>
        <v>3.8811671662194139E-2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58066.703000000074</v>
      </c>
      <c r="J44" s="218">
        <f t="shared" si="15"/>
        <v>109854.60499999981</v>
      </c>
      <c r="K44" s="218">
        <f t="shared" si="15"/>
        <v>217018.03400000022</v>
      </c>
      <c r="L44" s="227">
        <f t="shared" si="15"/>
        <v>0</v>
      </c>
      <c r="M44" s="228">
        <f t="shared" si="15"/>
        <v>0</v>
      </c>
      <c r="N44" s="218">
        <f t="shared" si="15"/>
        <v>217018.03400000022</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0.15375469854883864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0.18234336337275348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9.3071089740432947E-2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58066.703000000074</v>
      </c>
      <c r="J49" s="202">
        <f t="shared" si="19"/>
        <v>109854.60499999981</v>
      </c>
      <c r="K49" s="202">
        <f t="shared" si="19"/>
        <v>217018.03400000022</v>
      </c>
      <c r="L49" s="207">
        <f t="shared" si="19"/>
        <v>0</v>
      </c>
      <c r="M49" s="208">
        <f t="shared" si="19"/>
        <v>0</v>
      </c>
      <c r="N49" s="202">
        <f t="shared" si="19"/>
        <v>217018.03400000022</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7.6851590623395333E-3</v>
      </c>
      <c r="J50" s="203">
        <f t="shared" si="20"/>
        <v>1.5003635350690358E-2</v>
      </c>
      <c r="K50" s="203">
        <f t="shared" si="20"/>
        <v>2.9652981964520268E-2</v>
      </c>
      <c r="L50" s="209" t="str">
        <f t="shared" si="20"/>
        <v>NA</v>
      </c>
      <c r="M50" s="210" t="str">
        <f t="shared" si="20"/>
        <v>NA</v>
      </c>
      <c r="N50" s="203">
        <f t="shared" si="20"/>
        <v>2.9652981964520268E-2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2.0135016197721871</v>
      </c>
      <c r="F52" s="2"/>
      <c r="G52" s="111" t="s">
        <v>219</v>
      </c>
      <c r="H52" s="111"/>
      <c r="I52" s="213">
        <f t="shared" ref="I52:N52" si="21">IF(ISERROR(I49/I24),0,I49/I24)</f>
        <v>943.80334033031534</v>
      </c>
      <c r="J52" s="213">
        <f t="shared" si="21"/>
        <v>1785.5524387128894</v>
      </c>
      <c r="K52" s="213">
        <f t="shared" si="21"/>
        <v>3527.3630982822961</v>
      </c>
      <c r="L52" s="214">
        <f t="shared" si="21"/>
        <v>0</v>
      </c>
      <c r="M52" s="215">
        <f t="shared" si="21"/>
        <v>0</v>
      </c>
      <c r="N52" s="213">
        <f t="shared" si="21"/>
        <v>3527.3630982822961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1.8010759982897731</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15.828911710102185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13.212052847606882</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15.159717199490338</v>
      </c>
      <c r="F56" s="2"/>
      <c r="G56" s="111" t="s">
        <v>190</v>
      </c>
      <c r="H56" s="111"/>
      <c r="I56" s="182">
        <v>14559.227000000001</v>
      </c>
      <c r="J56" s="182">
        <v>12620.205</v>
      </c>
      <c r="K56" s="182">
        <v>12008.565000000001</v>
      </c>
      <c r="L56" s="252">
        <v>0</v>
      </c>
      <c r="M56" s="253">
        <v>0</v>
      </c>
      <c r="N56" s="195">
        <f>K56+M56-L56</f>
        <v>12008.565000000001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1.9269214461807532E-3</v>
      </c>
      <c r="J57" s="255">
        <f t="shared" si="22"/>
        <v>1.7236323763665578E-3</v>
      </c>
      <c r="K57" s="255">
        <f t="shared" si="22"/>
        <v>1.6408302794078808E-3</v>
      </c>
      <c r="L57" s="256" t="str">
        <f t="shared" si="22"/>
        <v>NA</v>
      </c>
      <c r="M57" s="257" t="str">
        <f t="shared" si="22"/>
        <v>NA</v>
      </c>
      <c r="N57" s="255">
        <f t="shared" si="22"/>
        <v>1.6408302794078808E-3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376025.40399999998</v>
      </c>
      <c r="J58" s="182">
        <v>77014.824999999997</v>
      </c>
      <c r="K58" s="182">
        <v>46959.021999999997</v>
      </c>
      <c r="L58" s="186">
        <v>0</v>
      </c>
      <c r="M58" s="187">
        <v>0</v>
      </c>
      <c r="N58" s="195">
        <f>K58+M58-L58</f>
        <v>46959.021999999997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4.9767162451439341E-2</v>
      </c>
      <c r="J59" s="255">
        <f t="shared" si="23"/>
        <v>1.0518469852922721E-2</v>
      </c>
      <c r="K59" s="255">
        <f t="shared" si="23"/>
        <v>6.4164023918745344E-3</v>
      </c>
      <c r="L59" s="258" t="str">
        <f t="shared" si="23"/>
        <v>NA</v>
      </c>
      <c r="M59" s="259" t="str">
        <f t="shared" si="23"/>
        <v>NA</v>
      </c>
      <c r="N59" s="255">
        <f t="shared" si="23"/>
        <v>6.4164023918745344E-3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-4.4732668913161078E-4</v>
      </c>
      <c r="D61" s="203">
        <f>IF(ISERROR(K41/J41-1),0,K41/J41-1)</f>
        <v>0.68756165307515205</v>
      </c>
      <c r="E61" s="203">
        <f>IF(ISERROR(K52/J52-1),0,K52/J52-1)</f>
        <v>0.97550238335480421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-1.5815384053424197E-2</v>
      </c>
      <c r="D62" s="203">
        <f>IF(ISERROR((K41/I41)^(1/2)-1),0,(K41/I41)^(1/2)-1)</f>
        <v>0.5195497139038705</v>
      </c>
      <c r="E62" s="203">
        <f>IF(ISERROR((K52/I52)^(1/2)-1),0,(K52/I52)^(1/2)-1)</f>
        <v>0.93323357285446362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-7.3629525030632914E-3</v>
      </c>
      <c r="D64" s="203">
        <f>IF(ISERROR(D38/K41-1),0,D38/K41-1)</f>
        <v>-7.3629525030641796E-3</v>
      </c>
      <c r="E64" s="203">
        <f>IF(ISERROR(D42/K52-1),0,D42/K52-1)</f>
        <v>-3.419913060029256E-2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-6.700507821802093E-3</v>
      </c>
      <c r="D65" s="203">
        <f>IF(ISERROR((E38/K41)^(1/2)-1),0,(E38/K41)^(1/2)-1)</f>
        <v>-6.7005078218024261E-3</v>
      </c>
      <c r="E65" s="203">
        <f>IF(ISERROR((E42/K52)^(1/2)-1),0,(E42/K52)^(1/2)-1)</f>
        <v>-2.0219550236847517E-2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143281.86199999999</v>
      </c>
      <c r="T8" s="180">
        <v>135320.97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1546619.777</v>
      </c>
      <c r="T9" s="182">
        <v>1432902.1869999999</v>
      </c>
      <c r="U9" s="110"/>
      <c r="V9" s="2"/>
      <c r="W9" s="2"/>
      <c r="X9" s="2"/>
      <c r="Y9" s="2"/>
      <c r="Z9" s="2"/>
    </row>
    <row r="10" spans="1:26" ht="15" customHeight="1" x14ac:dyDescent="0.2">
      <c r="A10" s="24"/>
      <c r="B10" s="111" t="s">
        <v>118</v>
      </c>
      <c r="C10" s="111"/>
      <c r="D10" s="121"/>
      <c r="E10" s="150">
        <v>46022</v>
      </c>
      <c r="F10" s="2"/>
      <c r="G10" s="122" t="s">
        <v>34</v>
      </c>
      <c r="H10" s="122"/>
      <c r="I10" s="180">
        <v>13701576.035</v>
      </c>
      <c r="J10" s="180">
        <v>8929794.8120000008</v>
      </c>
      <c r="K10" s="180">
        <v>7010299.4939999999</v>
      </c>
      <c r="L10" s="183">
        <v>0</v>
      </c>
      <c r="M10" s="184">
        <v>0</v>
      </c>
      <c r="N10" s="185">
        <f>K10+M10-L10</f>
        <v>7010299.4939999999</v>
      </c>
      <c r="O10" s="2"/>
      <c r="P10" s="111" t="s">
        <v>119</v>
      </c>
      <c r="Q10" s="123"/>
      <c r="R10" s="123"/>
      <c r="S10" s="182">
        <v>627737.11899999995</v>
      </c>
      <c r="T10" s="182">
        <v>411191.50199999998</v>
      </c>
      <c r="U10" s="110"/>
      <c r="V10" s="2"/>
      <c r="W10" s="2"/>
      <c r="X10" s="2"/>
      <c r="Y10" s="2"/>
      <c r="Z10" s="2"/>
    </row>
    <row r="11" spans="1:26" ht="15" customHeight="1" x14ac:dyDescent="0.2">
      <c r="A11" s="24"/>
      <c r="B11" s="111" t="s">
        <v>120</v>
      </c>
      <c r="C11" s="111"/>
      <c r="D11" s="117"/>
      <c r="E11" s="149" t="s">
        <v>121</v>
      </c>
      <c r="F11" s="2"/>
      <c r="G11" s="111" t="s">
        <v>122</v>
      </c>
      <c r="H11" s="111"/>
      <c r="I11" s="182">
        <v>13640006.592</v>
      </c>
      <c r="J11" s="182">
        <v>8924084.7139999997</v>
      </c>
      <c r="K11" s="182">
        <v>7008942.0410000002</v>
      </c>
      <c r="L11" s="186">
        <v>0</v>
      </c>
      <c r="M11" s="187">
        <v>0</v>
      </c>
      <c r="N11" s="188">
        <f>K11+M11-L11</f>
        <v>7008942.0410000002</v>
      </c>
      <c r="O11" s="189"/>
      <c r="P11" s="111" t="s">
        <v>123</v>
      </c>
      <c r="Q11" s="190"/>
      <c r="R11" s="190"/>
      <c r="S11" s="182">
        <v>769020.6109999998</v>
      </c>
      <c r="T11" s="182">
        <v>712769.12600000005</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61569.44299999997</v>
      </c>
      <c r="J12" s="185">
        <f t="shared" si="0"/>
        <v>5710.0980000011623</v>
      </c>
      <c r="K12" s="185">
        <f t="shared" si="0"/>
        <v>1357.4529999997467</v>
      </c>
      <c r="L12" s="191">
        <f t="shared" si="0"/>
        <v>0</v>
      </c>
      <c r="M12" s="192">
        <f t="shared" si="0"/>
        <v>0</v>
      </c>
      <c r="N12" s="185">
        <f t="shared" si="0"/>
        <v>1357.4529999997467</v>
      </c>
      <c r="O12" s="2"/>
      <c r="P12" s="124" t="s">
        <v>126</v>
      </c>
      <c r="Q12" s="120"/>
      <c r="R12" s="120"/>
      <c r="S12" s="185">
        <f>SUM(S8:S11)</f>
        <v>3086659.3689999999</v>
      </c>
      <c r="T12" s="185">
        <f>SUM(T8:T11)</f>
        <v>2692183.7850000001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746065.51199999999</v>
      </c>
      <c r="J13" s="182">
        <v>-3555.5180000000109</v>
      </c>
      <c r="K13" s="182">
        <v>-17819.337</v>
      </c>
      <c r="L13" s="186">
        <v>0</v>
      </c>
      <c r="M13" s="187">
        <v>0</v>
      </c>
      <c r="N13" s="195">
        <f>K13+M13-L13</f>
        <v>-17819.337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-37277.004999999888</v>
      </c>
      <c r="J14" s="197">
        <v>-214820.32500000001</v>
      </c>
      <c r="K14" s="197">
        <v>-377805.08199999999</v>
      </c>
      <c r="L14" s="198">
        <v>0</v>
      </c>
      <c r="M14" s="199">
        <v>0</v>
      </c>
      <c r="N14" s="200">
        <f>K14+M14-L14</f>
        <v>-377805.08199999999</v>
      </c>
      <c r="O14" s="2"/>
      <c r="P14" s="111" t="s">
        <v>131</v>
      </c>
      <c r="Q14" s="123"/>
      <c r="R14" s="123"/>
      <c r="S14" s="182">
        <v>1206287.53</v>
      </c>
      <c r="T14" s="182">
        <v>865924.04700000002</v>
      </c>
      <c r="U14" s="110"/>
      <c r="V14" s="2"/>
      <c r="W14" s="2"/>
      <c r="X14" s="2"/>
      <c r="Y14" s="2"/>
      <c r="Z14" s="2"/>
    </row>
    <row r="15" spans="1:26" ht="12.75" customHeight="1" x14ac:dyDescent="0.2">
      <c r="A15" s="24"/>
      <c r="B15" s="2"/>
      <c r="C15" s="2"/>
      <c r="D15" s="2"/>
      <c r="E15" s="2"/>
      <c r="F15" s="2"/>
      <c r="G15" s="122" t="s">
        <v>132</v>
      </c>
      <c r="H15" s="125"/>
      <c r="I15" s="185">
        <f t="shared" ref="I15:N15" si="1">I12-SUM(I13:I14)</f>
        <v>-647219.06400000013</v>
      </c>
      <c r="J15" s="185">
        <f t="shared" si="1"/>
        <v>224085.94100000118</v>
      </c>
      <c r="K15" s="185">
        <f t="shared" si="1"/>
        <v>396981.87199999974</v>
      </c>
      <c r="L15" s="191">
        <f t="shared" si="1"/>
        <v>0</v>
      </c>
      <c r="M15" s="192">
        <f t="shared" si="1"/>
        <v>0</v>
      </c>
      <c r="N15" s="185">
        <f t="shared" si="1"/>
        <v>396981.87199999974</v>
      </c>
      <c r="O15" s="2"/>
      <c r="P15" s="111" t="s">
        <v>133</v>
      </c>
      <c r="Q15" s="120"/>
      <c r="R15" s="120"/>
      <c r="S15" s="182">
        <v>103782.776</v>
      </c>
      <c r="T15" s="182">
        <v>103252.848</v>
      </c>
      <c r="U15" s="110"/>
      <c r="V15" s="2"/>
      <c r="W15" s="2"/>
      <c r="X15" s="2"/>
      <c r="Y15" s="2"/>
      <c r="Z15" s="2"/>
    </row>
    <row r="16" spans="1:26" ht="15" customHeight="1" x14ac:dyDescent="0.2">
      <c r="A16" s="24"/>
      <c r="B16" s="271" t="s">
        <v>134</v>
      </c>
      <c r="C16" s="269"/>
      <c r="D16" s="269"/>
      <c r="E16" s="269"/>
      <c r="F16" s="2"/>
      <c r="G16" s="111" t="s">
        <v>135</v>
      </c>
      <c r="H16" s="125"/>
      <c r="I16" s="182">
        <v>265581.76899999997</v>
      </c>
      <c r="J16" s="182">
        <v>176410.86600000001</v>
      </c>
      <c r="K16" s="182">
        <v>148362.86199999999</v>
      </c>
      <c r="L16" s="186">
        <v>0</v>
      </c>
      <c r="M16" s="187">
        <v>0</v>
      </c>
      <c r="N16" s="188">
        <f>K16+M16-L16</f>
        <v>148362.86199999999</v>
      </c>
      <c r="O16" s="2"/>
      <c r="P16" s="111" t="s">
        <v>136</v>
      </c>
      <c r="Q16" s="123"/>
      <c r="R16" s="123"/>
      <c r="S16" s="182">
        <v>381452.87300000043</v>
      </c>
      <c r="T16" s="182">
        <v>792349.196</v>
      </c>
      <c r="U16" s="110"/>
      <c r="V16" s="2"/>
      <c r="W16" s="2"/>
      <c r="X16" s="2"/>
      <c r="Y16" s="2"/>
      <c r="Z16" s="2"/>
    </row>
    <row r="17" spans="1:26" ht="15" customHeight="1" x14ac:dyDescent="0.2">
      <c r="A17" s="24"/>
      <c r="B17" s="111" t="s">
        <v>137</v>
      </c>
      <c r="C17" s="111"/>
      <c r="D17" s="126">
        <v>0</v>
      </c>
      <c r="E17" s="201">
        <v>10700</v>
      </c>
      <c r="F17" s="2"/>
      <c r="G17" s="122" t="s">
        <v>138</v>
      </c>
      <c r="H17" s="111"/>
      <c r="I17" s="185">
        <f t="shared" ref="I17:N17" si="2">I15-SUM(I16)</f>
        <v>-912800.8330000001</v>
      </c>
      <c r="J17" s="185">
        <f t="shared" si="2"/>
        <v>47675.075000001176</v>
      </c>
      <c r="K17" s="185">
        <f t="shared" si="2"/>
        <v>248619.00999999975</v>
      </c>
      <c r="L17" s="191">
        <f t="shared" si="2"/>
        <v>0</v>
      </c>
      <c r="M17" s="192">
        <f t="shared" si="2"/>
        <v>0</v>
      </c>
      <c r="N17" s="185">
        <f t="shared" si="2"/>
        <v>248619.00999999975</v>
      </c>
      <c r="O17" s="2"/>
      <c r="P17" s="124" t="s">
        <v>139</v>
      </c>
      <c r="Q17" s="120"/>
      <c r="R17" s="120"/>
      <c r="S17" s="202">
        <f>SUM(S12:S16)</f>
        <v>4778182.5480000004</v>
      </c>
      <c r="T17" s="202">
        <f>SUM(T12:T16)</f>
        <v>4453709.8760000002</v>
      </c>
      <c r="U17" s="110"/>
      <c r="V17" s="2"/>
      <c r="W17" s="2"/>
      <c r="X17" s="2"/>
      <c r="Y17" s="2"/>
      <c r="Z17" s="2"/>
    </row>
    <row r="18" spans="1:26" ht="12.75" customHeight="1" x14ac:dyDescent="0.2">
      <c r="A18" s="127"/>
      <c r="B18" s="128" t="s">
        <v>140</v>
      </c>
      <c r="C18" s="128"/>
      <c r="D18" s="129"/>
      <c r="E18" s="203">
        <f>+IF(ISERROR(E17/E19),"NA",E17/E19)</f>
        <v>0.63313609467455623</v>
      </c>
      <c r="F18" s="2"/>
      <c r="G18" s="111" t="s">
        <v>141</v>
      </c>
      <c r="H18" s="111"/>
      <c r="I18" s="182">
        <v>12498.209000000001</v>
      </c>
      <c r="J18" s="182">
        <v>35600.902000000002</v>
      </c>
      <c r="K18" s="182">
        <v>51064.892</v>
      </c>
      <c r="L18" s="186">
        <v>0</v>
      </c>
      <c r="M18" s="187">
        <v>0</v>
      </c>
      <c r="N18" s="195">
        <f>K18+M18-L18</f>
        <v>51064.892</v>
      </c>
      <c r="O18" s="2"/>
      <c r="P18" s="111"/>
      <c r="Q18" s="111"/>
      <c r="R18" s="111"/>
      <c r="S18" s="111"/>
      <c r="T18" s="111"/>
      <c r="U18" s="110"/>
      <c r="V18" s="2"/>
      <c r="W18" s="2"/>
      <c r="X18" s="2"/>
      <c r="Y18" s="2"/>
      <c r="Z18" s="2"/>
    </row>
    <row r="19" spans="1:26" ht="15" customHeight="1" x14ac:dyDescent="0.2">
      <c r="A19" s="24"/>
      <c r="B19" s="111" t="s">
        <v>142</v>
      </c>
      <c r="C19" s="111"/>
      <c r="D19" s="204">
        <v>0</v>
      </c>
      <c r="E19" s="205">
        <v>16900</v>
      </c>
      <c r="F19" s="2"/>
      <c r="G19" s="111" t="s">
        <v>143</v>
      </c>
      <c r="H19" s="111"/>
      <c r="I19" s="197">
        <v>-40009.963000000003</v>
      </c>
      <c r="J19" s="197">
        <v>-17165.616000000002</v>
      </c>
      <c r="K19" s="197">
        <v>17436.973000000002</v>
      </c>
      <c r="L19" s="198">
        <v>0</v>
      </c>
      <c r="M19" s="199">
        <v>0</v>
      </c>
      <c r="N19" s="206">
        <f>K19+M19-L19</f>
        <v>17436.973000000002</v>
      </c>
      <c r="O19" s="2"/>
      <c r="P19" s="111" t="s">
        <v>144</v>
      </c>
      <c r="Q19" s="123"/>
      <c r="R19" s="123"/>
      <c r="S19" s="182">
        <v>1420521.5379999999</v>
      </c>
      <c r="T19" s="182">
        <v>1196979.0900000001</v>
      </c>
      <c r="U19" s="110"/>
      <c r="V19" s="2"/>
      <c r="W19" s="2"/>
      <c r="X19" s="2"/>
      <c r="Y19" s="2"/>
      <c r="Z19" s="2"/>
    </row>
    <row r="20" spans="1:26" ht="15" customHeight="1" x14ac:dyDescent="0.2">
      <c r="A20" s="24"/>
      <c r="B20" s="111" t="s">
        <v>145</v>
      </c>
      <c r="C20" s="111"/>
      <c r="D20" s="204">
        <v>0</v>
      </c>
      <c r="E20" s="205">
        <v>10150</v>
      </c>
      <c r="F20" s="2"/>
      <c r="G20" s="111" t="s">
        <v>146</v>
      </c>
      <c r="H20" s="111"/>
      <c r="I20" s="197">
        <v>0</v>
      </c>
      <c r="J20" s="197">
        <v>0</v>
      </c>
      <c r="K20" s="197">
        <v>0</v>
      </c>
      <c r="L20" s="198">
        <v>0</v>
      </c>
      <c r="M20" s="199">
        <v>0</v>
      </c>
      <c r="N20" s="200">
        <f>K20+M20-L20</f>
        <v>0</v>
      </c>
      <c r="O20" s="2"/>
      <c r="P20" s="111" t="s">
        <v>147</v>
      </c>
      <c r="Q20" s="190"/>
      <c r="R20" s="190"/>
      <c r="S20" s="182">
        <v>29913.393</v>
      </c>
      <c r="T20" s="182">
        <v>102372.05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-885289.07900000014</v>
      </c>
      <c r="J21" s="202">
        <f t="shared" si="3"/>
        <v>29239.789000001176</v>
      </c>
      <c r="K21" s="202">
        <f t="shared" si="3"/>
        <v>180117.14499999973</v>
      </c>
      <c r="L21" s="207">
        <f t="shared" si="3"/>
        <v>0</v>
      </c>
      <c r="M21" s="208">
        <f t="shared" si="3"/>
        <v>0</v>
      </c>
      <c r="N21" s="202">
        <f t="shared" si="3"/>
        <v>180117.14499999973</v>
      </c>
      <c r="O21" s="2"/>
      <c r="P21" s="111" t="s">
        <v>150</v>
      </c>
      <c r="Q21" s="120"/>
      <c r="R21" s="120"/>
      <c r="S21" s="182">
        <v>2258849.0070000002</v>
      </c>
      <c r="T21" s="182">
        <v>2080627.328</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-1.3692153368137866E-2</v>
      </c>
      <c r="J22" s="203">
        <f t="shared" si="4"/>
        <v>0.74674034597741323</v>
      </c>
      <c r="K22" s="203">
        <f t="shared" si="4"/>
        <v>0.20539415710809905</v>
      </c>
      <c r="L22" s="209" t="str">
        <f t="shared" si="4"/>
        <v>NA</v>
      </c>
      <c r="M22" s="210" t="str">
        <f t="shared" si="4"/>
        <v>NA</v>
      </c>
      <c r="N22" s="203">
        <f t="shared" si="4"/>
        <v>0.20539415710809905</v>
      </c>
      <c r="O22" s="2"/>
      <c r="P22" s="124" t="s">
        <v>152</v>
      </c>
      <c r="Q22" s="123"/>
      <c r="R22" s="123"/>
      <c r="S22" s="185">
        <f>SUM(S19:S21)</f>
        <v>3709283.9380000001</v>
      </c>
      <c r="T22" s="185">
        <f>SUM(T19:T21)</f>
        <v>3379978.4680000003</v>
      </c>
      <c r="U22" s="110"/>
      <c r="V22" s="2"/>
      <c r="W22" s="2"/>
      <c r="X22" s="2"/>
      <c r="Y22" s="2"/>
      <c r="Z22" s="2"/>
    </row>
    <row r="23" spans="1:26" ht="15" customHeight="1" x14ac:dyDescent="0.2">
      <c r="A23" s="24"/>
      <c r="B23" s="111" t="s">
        <v>153</v>
      </c>
      <c r="C23" s="111"/>
      <c r="D23" s="111"/>
      <c r="E23" s="211">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787593.15590000001</v>
      </c>
      <c r="F24" s="2"/>
      <c r="G24" s="111" t="s">
        <v>155</v>
      </c>
      <c r="H24" s="111"/>
      <c r="I24" s="182">
        <v>73.606836999999999</v>
      </c>
      <c r="J24" s="182">
        <v>73.606836999999999</v>
      </c>
      <c r="K24" s="182">
        <v>73.606836999999999</v>
      </c>
      <c r="L24" s="186">
        <v>0</v>
      </c>
      <c r="M24" s="187">
        <v>0</v>
      </c>
      <c r="N24" s="195">
        <f>+IF(ISERROR(K24+M24-L24),"NA",K24+M24-L24)</f>
        <v>73.606836999999999</v>
      </c>
      <c r="O24" s="2"/>
      <c r="P24" s="133" t="s">
        <v>156</v>
      </c>
      <c r="Q24" s="120"/>
      <c r="R24" s="120"/>
      <c r="S24" s="182">
        <v>2390555.298</v>
      </c>
      <c r="T24" s="182">
        <v>2049199.9069999999</v>
      </c>
      <c r="U24" s="110"/>
      <c r="V24" s="2"/>
      <c r="W24" s="2"/>
      <c r="X24" s="2"/>
      <c r="Y24" s="2"/>
      <c r="Z24" s="2"/>
    </row>
    <row r="25" spans="1:26" ht="15" customHeight="1" x14ac:dyDescent="0.2">
      <c r="A25" s="24"/>
      <c r="B25" s="111"/>
      <c r="C25" s="111"/>
      <c r="D25" s="111"/>
      <c r="E25" s="111"/>
      <c r="F25" s="2"/>
      <c r="G25" s="111" t="s">
        <v>157</v>
      </c>
      <c r="H25" s="111"/>
      <c r="I25" s="213">
        <f>IF(ISERROR(I21/I24),"NA",I21/I24)</f>
        <v>-12027.266964344632</v>
      </c>
      <c r="J25" s="213">
        <f>+IF(ISERROR(J21/J24),"NA",J21/J24)</f>
        <v>397.24284036279369</v>
      </c>
      <c r="K25" s="213">
        <f>+IF(ISERROR(K21/K24),"NA",K21/K24)</f>
        <v>2447.0165047303926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2049199.9069999999</v>
      </c>
      <c r="F26" s="2"/>
      <c r="G26" s="2"/>
      <c r="H26" s="2"/>
      <c r="I26" s="2"/>
      <c r="J26" s="2"/>
      <c r="K26" s="2"/>
      <c r="L26" s="2"/>
      <c r="M26" s="2"/>
      <c r="N26" s="2"/>
      <c r="O26" s="2"/>
      <c r="P26" s="124" t="s">
        <v>160</v>
      </c>
      <c r="Q26" s="111"/>
      <c r="R26" s="111"/>
      <c r="S26" s="185">
        <f>S22+SUM(S24:S25)</f>
        <v>6099839.2359999996</v>
      </c>
      <c r="T26" s="185">
        <f>T22+SUM(T24:T25)</f>
        <v>5429178.375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17436.973000000002</v>
      </c>
      <c r="F28" s="2"/>
      <c r="G28" s="271" t="s">
        <v>163</v>
      </c>
      <c r="H28" s="269"/>
      <c r="I28" s="269"/>
      <c r="J28" s="269"/>
      <c r="K28" s="269"/>
      <c r="L28" s="269"/>
      <c r="M28" s="269"/>
      <c r="N28" s="269"/>
      <c r="O28" s="2"/>
      <c r="P28" s="111" t="s">
        <v>143</v>
      </c>
      <c r="Q28" s="136"/>
      <c r="R28" s="136"/>
      <c r="S28" s="182">
        <v>-17165.616000000002</v>
      </c>
      <c r="T28" s="182">
        <v>17436.973000000002</v>
      </c>
      <c r="U28" s="110"/>
      <c r="V28" s="2"/>
      <c r="W28" s="2"/>
      <c r="X28" s="2"/>
      <c r="Y28" s="2"/>
      <c r="Z28" s="2"/>
    </row>
    <row r="29" spans="1:26" ht="15" customHeight="1" x14ac:dyDescent="0.2">
      <c r="A29" s="24"/>
      <c r="B29" s="111" t="s">
        <v>164</v>
      </c>
      <c r="C29" s="111"/>
      <c r="D29" s="111"/>
      <c r="E29" s="217">
        <f>-T8</f>
        <v>-135320.97</v>
      </c>
      <c r="F29" s="2"/>
      <c r="G29" s="111" t="s">
        <v>165</v>
      </c>
      <c r="H29" s="111"/>
      <c r="I29" s="218">
        <f t="shared" ref="I29:N29" si="5">I12</f>
        <v>61569.44299999997</v>
      </c>
      <c r="J29" s="218">
        <f t="shared" si="5"/>
        <v>5710.0980000011623</v>
      </c>
      <c r="K29" s="218">
        <f t="shared" si="5"/>
        <v>1357.4529999997467</v>
      </c>
      <c r="L29" s="219">
        <f t="shared" si="5"/>
        <v>0</v>
      </c>
      <c r="M29" s="220">
        <f t="shared" si="5"/>
        <v>0</v>
      </c>
      <c r="N29" s="218">
        <f t="shared" si="5"/>
        <v>1357.4529999997467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2718909.0658999998</v>
      </c>
      <c r="F30" s="221"/>
      <c r="G30" s="111" t="s">
        <v>168</v>
      </c>
      <c r="H30" s="111"/>
      <c r="I30" s="223">
        <v>0</v>
      </c>
      <c r="J30" s="223">
        <v>0</v>
      </c>
      <c r="K30" s="223">
        <v>0</v>
      </c>
      <c r="L30" s="186">
        <v>0</v>
      </c>
      <c r="M30" s="187">
        <v>0</v>
      </c>
      <c r="N30" s="188">
        <f>K30+M30-L30</f>
        <v>0</v>
      </c>
      <c r="O30" s="2"/>
      <c r="P30" s="133" t="s">
        <v>169</v>
      </c>
      <c r="Q30" s="224"/>
      <c r="R30" s="224"/>
      <c r="S30" s="182">
        <v>809844.01300000004</v>
      </c>
      <c r="T30" s="182">
        <v>1007398.1310000001</v>
      </c>
      <c r="U30" s="2"/>
      <c r="V30" s="2"/>
      <c r="W30" s="2"/>
      <c r="X30" s="2"/>
      <c r="Y30" s="2"/>
      <c r="Z30" s="2"/>
    </row>
    <row r="31" spans="1:26" ht="15" customHeight="1" x14ac:dyDescent="0.2">
      <c r="A31" s="24"/>
      <c r="B31" s="2"/>
      <c r="C31" s="2"/>
      <c r="D31" s="2"/>
      <c r="E31" s="2"/>
      <c r="F31" s="221"/>
      <c r="G31" s="122" t="s">
        <v>170</v>
      </c>
      <c r="H31" s="111"/>
      <c r="I31" s="185">
        <f t="shared" ref="I31:N31" si="6">SUM(I29:I30)</f>
        <v>61569.44299999997</v>
      </c>
      <c r="J31" s="185">
        <f t="shared" si="6"/>
        <v>5710.0980000011623</v>
      </c>
      <c r="K31" s="185">
        <f t="shared" si="6"/>
        <v>1357.4529999997467</v>
      </c>
      <c r="L31" s="191">
        <f t="shared" si="6"/>
        <v>0</v>
      </c>
      <c r="M31" s="192">
        <f t="shared" si="6"/>
        <v>0</v>
      </c>
      <c r="N31" s="185">
        <f t="shared" si="6"/>
        <v>1357.4529999997467</v>
      </c>
      <c r="O31" s="2"/>
      <c r="P31" s="124" t="s">
        <v>171</v>
      </c>
      <c r="Q31" s="224"/>
      <c r="R31" s="224"/>
      <c r="S31" s="202">
        <f>S26+SUM(S28:S30)</f>
        <v>6892517.6329999994</v>
      </c>
      <c r="T31" s="202">
        <f>T26+SUM(T28:T30)</f>
        <v>6454013.4790000003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4.4936029871836545E-3</v>
      </c>
      <c r="J32" s="203">
        <f t="shared" si="7"/>
        <v>6.394433601461751E-4</v>
      </c>
      <c r="K32" s="203">
        <f t="shared" si="7"/>
        <v>1.936369482019375E-4</v>
      </c>
      <c r="L32" s="209" t="str">
        <f t="shared" si="7"/>
        <v>NA</v>
      </c>
      <c r="M32" s="210" t="str">
        <f t="shared" si="7"/>
        <v>NA</v>
      </c>
      <c r="N32" s="203">
        <f t="shared" si="7"/>
        <v>1.936369482019375E-4</v>
      </c>
      <c r="O32" s="2"/>
      <c r="P32" s="128" t="s">
        <v>174</v>
      </c>
      <c r="Q32" s="137"/>
      <c r="R32" s="137"/>
      <c r="S32" s="225">
        <f>S17-S31</f>
        <v>-2114335.084999999</v>
      </c>
      <c r="T32" s="225">
        <f>T17-T31</f>
        <v>-2000303.6030000001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-647219.06400000013</v>
      </c>
      <c r="J34" s="218">
        <f t="shared" si="8"/>
        <v>224085.94100000118</v>
      </c>
      <c r="K34" s="218">
        <f t="shared" si="8"/>
        <v>396981.87199999974</v>
      </c>
      <c r="L34" s="227">
        <f t="shared" si="8"/>
        <v>0</v>
      </c>
      <c r="M34" s="228">
        <f t="shared" si="8"/>
        <v>0</v>
      </c>
      <c r="N34" s="218">
        <f t="shared" si="8"/>
        <v>396981.87199999974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0.38784492277784555</v>
      </c>
      <c r="D35" s="229">
        <f>IF(ISERROR($E$30/D36),"NA",$E$30/D36)</f>
        <v>0.39984012657509849</v>
      </c>
      <c r="E35" s="229">
        <f>IF(ISERROR($E$30/E36),"NA",$E$30/E36)</f>
        <v>0.40800012915826378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73.606836999999999</v>
      </c>
      <c r="U35" s="110"/>
      <c r="V35" s="2"/>
      <c r="W35" s="2"/>
      <c r="X35" s="2"/>
      <c r="Y35" s="2"/>
      <c r="Z35" s="2"/>
    </row>
    <row r="36" spans="1:26" ht="15" customHeight="1" x14ac:dyDescent="0.2">
      <c r="A36" s="24"/>
      <c r="B36" s="111" t="s">
        <v>181</v>
      </c>
      <c r="C36" s="218">
        <f>N10</f>
        <v>7010299.4939999999</v>
      </c>
      <c r="D36" s="180">
        <v>6799990.5091800001</v>
      </c>
      <c r="E36" s="180">
        <v>6663990.6989964005</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5.5838970899310034</v>
      </c>
      <c r="D37" s="229">
        <f>IF(ISERROR($E$30/D38),"NA",$E$30/D38)</f>
        <v>5.7565949380731976</v>
      </c>
      <c r="E37" s="229">
        <f>IF(ISERROR($E$30/E38),"NA",$E$30/E38)</f>
        <v>5.8740764674216299</v>
      </c>
      <c r="F37" s="2"/>
      <c r="G37" s="122" t="s">
        <v>185</v>
      </c>
      <c r="H37" s="111"/>
      <c r="I37" s="185">
        <f t="shared" ref="I37:N37" si="10">SUM(I34:I36)</f>
        <v>-647219.06400000013</v>
      </c>
      <c r="J37" s="185">
        <f t="shared" si="10"/>
        <v>224085.94100000118</v>
      </c>
      <c r="K37" s="185">
        <f t="shared" si="10"/>
        <v>396981.87199999974</v>
      </c>
      <c r="L37" s="191">
        <f t="shared" si="10"/>
        <v>0</v>
      </c>
      <c r="M37" s="192">
        <f t="shared" si="10"/>
        <v>0</v>
      </c>
      <c r="N37" s="185">
        <f t="shared" si="10"/>
        <v>396981.87199999974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486919.62299999973</v>
      </c>
      <c r="D38" s="180">
        <v>472312.0343099999</v>
      </c>
      <c r="E38" s="180">
        <v>462865.79362379992</v>
      </c>
      <c r="F38" s="2"/>
      <c r="G38" s="128" t="s">
        <v>173</v>
      </c>
      <c r="H38" s="128"/>
      <c r="I38" s="203">
        <f t="shared" ref="I38:N38" si="11">IF(ISERROR(I37/I10),"NA",I37/I10)</f>
        <v>-4.7236833364768471E-2</v>
      </c>
      <c r="J38" s="203">
        <f t="shared" si="11"/>
        <v>2.5094187012995071E-2</v>
      </c>
      <c r="K38" s="203">
        <f t="shared" si="11"/>
        <v>5.6628375483782113E-2</v>
      </c>
      <c r="L38" s="209" t="str">
        <f t="shared" si="11"/>
        <v>NA</v>
      </c>
      <c r="M38" s="210" t="str">
        <f t="shared" si="11"/>
        <v>NA</v>
      </c>
      <c r="N38" s="203">
        <f t="shared" si="11"/>
        <v>5.6628375483782113E-2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6.8489501855641448</v>
      </c>
      <c r="D39" s="229">
        <f>IF(ISERROR($E$30/D40),"NA",$E$30/D40)</f>
        <v>7.0607733871795268</v>
      </c>
      <c r="E39" s="229">
        <f>IF(ISERROR($E$30/E40),"NA",$E$30/E40)</f>
        <v>7.2048708032444146</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396981.87199999974</v>
      </c>
      <c r="D40" s="180">
        <v>385072.41583999997</v>
      </c>
      <c r="E40" s="180">
        <v>377370.96752319997</v>
      </c>
      <c r="F40" s="237"/>
      <c r="G40" s="111" t="s">
        <v>190</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191</v>
      </c>
      <c r="Q40" s="111"/>
      <c r="R40" s="111"/>
      <c r="S40" s="111"/>
      <c r="T40" s="238">
        <f>T35+SUM(T38:T39)</f>
        <v>73.606836999999999</v>
      </c>
      <c r="U40" s="110"/>
      <c r="V40" s="2"/>
      <c r="W40" s="2"/>
      <c r="X40" s="2"/>
      <c r="Y40" s="2"/>
      <c r="Z40" s="2"/>
    </row>
    <row r="41" spans="1:26" ht="12.75" customHeight="1" x14ac:dyDescent="0.2">
      <c r="A41" s="24"/>
      <c r="B41" s="111" t="s">
        <v>192</v>
      </c>
      <c r="C41" s="229">
        <f>IF(ISERROR($E$17/N52),"NA",E17/N52)</f>
        <v>4.3726717736948428</v>
      </c>
      <c r="D41" s="229">
        <f>IF(ISERROR($E$17/D42),"NA",$E$17/D42)</f>
        <v>4.5079394503684291</v>
      </c>
      <c r="E41" s="229">
        <f>IF(ISERROR($E$17/E42),"NA",$E$17/E42)</f>
        <v>4.5999382146616625</v>
      </c>
      <c r="F41" s="2"/>
      <c r="G41" s="122" t="s">
        <v>193</v>
      </c>
      <c r="H41" s="111"/>
      <c r="I41" s="185">
        <f t="shared" ref="I41:N41" si="13">I40+I37</f>
        <v>-540508.25600000017</v>
      </c>
      <c r="J41" s="185">
        <f t="shared" si="13"/>
        <v>335710.25000000116</v>
      </c>
      <c r="K41" s="185">
        <f t="shared" si="13"/>
        <v>486919.62299999973</v>
      </c>
      <c r="L41" s="191">
        <f t="shared" si="13"/>
        <v>0</v>
      </c>
      <c r="M41" s="192">
        <f t="shared" si="13"/>
        <v>0</v>
      </c>
      <c r="N41" s="185">
        <f t="shared" si="13"/>
        <v>486919.62299999973</v>
      </c>
      <c r="O41" s="2"/>
      <c r="P41" s="111"/>
      <c r="Q41" s="111"/>
      <c r="R41" s="111"/>
      <c r="S41" s="111"/>
      <c r="T41" s="111"/>
      <c r="U41" s="110"/>
      <c r="V41" s="2"/>
      <c r="W41" s="2"/>
      <c r="X41" s="2"/>
      <c r="Y41" s="2"/>
      <c r="Z41" s="2"/>
    </row>
    <row r="42" spans="1:26" ht="15" customHeight="1" x14ac:dyDescent="0.2">
      <c r="A42" s="24"/>
      <c r="B42" s="111" t="s">
        <v>181</v>
      </c>
      <c r="C42" s="213">
        <f>N52</f>
        <v>2447.0165047303926</v>
      </c>
      <c r="D42" s="201">
        <v>2373.59</v>
      </c>
      <c r="E42" s="201">
        <v>2326.1181999999999</v>
      </c>
      <c r="F42" s="2"/>
      <c r="G42" s="128" t="s">
        <v>173</v>
      </c>
      <c r="H42" s="128"/>
      <c r="I42" s="203">
        <f t="shared" ref="I42:N42" si="14">IF(ISERROR(I41/I10),"NA",I41/I10)</f>
        <v>-3.944861924053835E-2</v>
      </c>
      <c r="J42" s="203">
        <f t="shared" si="14"/>
        <v>3.7594396855442677E-2</v>
      </c>
      <c r="K42" s="203">
        <f t="shared" si="14"/>
        <v>6.9457749047204934E-2</v>
      </c>
      <c r="L42" s="209" t="str">
        <f t="shared" si="14"/>
        <v>NA</v>
      </c>
      <c r="M42" s="210" t="str">
        <f t="shared" si="14"/>
        <v>NA</v>
      </c>
      <c r="N42" s="203">
        <f t="shared" si="14"/>
        <v>6.9457749047204934E-2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-885289.07900000014</v>
      </c>
      <c r="J44" s="218">
        <f t="shared" si="15"/>
        <v>29239.789000001176</v>
      </c>
      <c r="K44" s="218">
        <f t="shared" si="15"/>
        <v>180117.14499999973</v>
      </c>
      <c r="L44" s="227">
        <f t="shared" si="15"/>
        <v>0</v>
      </c>
      <c r="M44" s="228">
        <f t="shared" si="15"/>
        <v>0</v>
      </c>
      <c r="N44" s="218">
        <f t="shared" si="15"/>
        <v>180117.14499999973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0.1328055118715076</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0.1982313095639936</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3.9020633414607847E-2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-885289.07900000014</v>
      </c>
      <c r="J49" s="202">
        <f t="shared" si="19"/>
        <v>29239.789000001176</v>
      </c>
      <c r="K49" s="202">
        <f t="shared" si="19"/>
        <v>180117.14499999973</v>
      </c>
      <c r="L49" s="207">
        <f t="shared" si="19"/>
        <v>0</v>
      </c>
      <c r="M49" s="208">
        <f t="shared" si="19"/>
        <v>0</v>
      </c>
      <c r="N49" s="202">
        <f t="shared" si="19"/>
        <v>180117.14499999973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-6.4612207875836533E-2</v>
      </c>
      <c r="J50" s="203">
        <f t="shared" si="20"/>
        <v>3.2744077121131922E-3</v>
      </c>
      <c r="K50" s="203">
        <f t="shared" si="20"/>
        <v>2.5693216838190584E-2</v>
      </c>
      <c r="L50" s="209" t="str">
        <f t="shared" si="20"/>
        <v>NA</v>
      </c>
      <c r="M50" s="210" t="str">
        <f t="shared" si="20"/>
        <v>NA</v>
      </c>
      <c r="N50" s="203">
        <f t="shared" si="20"/>
        <v>2.5693216838190584E-2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4.2084972759456871</v>
      </c>
      <c r="F52" s="2"/>
      <c r="G52" s="111" t="s">
        <v>219</v>
      </c>
      <c r="H52" s="111"/>
      <c r="I52" s="213">
        <f t="shared" ref="I52:N52" si="21">IF(ISERROR(I49/I24),0,I49/I24)</f>
        <v>-12027.266964344632</v>
      </c>
      <c r="J52" s="213">
        <f t="shared" si="21"/>
        <v>397.24284036279369</v>
      </c>
      <c r="K52" s="213">
        <f t="shared" si="21"/>
        <v>2447.0165047303926</v>
      </c>
      <c r="L52" s="214">
        <f t="shared" si="21"/>
        <v>0</v>
      </c>
      <c r="M52" s="215">
        <f t="shared" si="21"/>
        <v>0</v>
      </c>
      <c r="N52" s="213">
        <f t="shared" si="21"/>
        <v>2447.0165047303926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3.930584939683158</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3.281950863147947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3.2678978651678996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2.6757496225706388</v>
      </c>
      <c r="F56" s="2"/>
      <c r="G56" s="111" t="s">
        <v>190</v>
      </c>
      <c r="H56" s="111"/>
      <c r="I56" s="182">
        <v>106710.808</v>
      </c>
      <c r="J56" s="182">
        <v>111624.30899999999</v>
      </c>
      <c r="K56" s="182">
        <v>89937.751000000004</v>
      </c>
      <c r="L56" s="252">
        <v>0</v>
      </c>
      <c r="M56" s="253">
        <v>0</v>
      </c>
      <c r="N56" s="195">
        <f>K56+M56-L56</f>
        <v>89937.751000000004</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7.7882141242301261E-3</v>
      </c>
      <c r="J57" s="255">
        <f t="shared" si="22"/>
        <v>1.2500209842447608E-2</v>
      </c>
      <c r="K57" s="255">
        <f t="shared" si="22"/>
        <v>1.2829373563422824E-2</v>
      </c>
      <c r="L57" s="256" t="str">
        <f t="shared" si="22"/>
        <v>NA</v>
      </c>
      <c r="M57" s="257" t="str">
        <f t="shared" si="22"/>
        <v>NA</v>
      </c>
      <c r="N57" s="255">
        <f t="shared" si="22"/>
        <v>1.2829373563422824E-2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249158.054</v>
      </c>
      <c r="J58" s="182">
        <v>4683.9539999999997</v>
      </c>
      <c r="K58" s="182">
        <v>2084.9430000000002</v>
      </c>
      <c r="L58" s="186">
        <v>0</v>
      </c>
      <c r="M58" s="187">
        <v>0</v>
      </c>
      <c r="N58" s="195">
        <f>K58+M58-L58</f>
        <v>2084.9430000000002</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1.8184627327800688E-2</v>
      </c>
      <c r="J59" s="255">
        <f t="shared" si="23"/>
        <v>5.2453097731939235E-4</v>
      </c>
      <c r="K59" s="255">
        <f t="shared" si="23"/>
        <v>2.9741140186442371E-4</v>
      </c>
      <c r="L59" s="258" t="str">
        <f t="shared" si="23"/>
        <v>NA</v>
      </c>
      <c r="M59" s="259" t="str">
        <f t="shared" si="23"/>
        <v>NA</v>
      </c>
      <c r="N59" s="255">
        <f t="shared" si="23"/>
        <v>2.9741140186442371E-4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-0.21495402284278164</v>
      </c>
      <c r="D61" s="203">
        <f>IF(ISERROR(K41/J41-1),0,K41/J41-1)</f>
        <v>0.45041631287694694</v>
      </c>
      <c r="E61" s="203">
        <f>IF(ISERROR(K52/J52-1),0,K52/J52-1)</f>
        <v>5.1600015307905434</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-0.28470856694519697</v>
      </c>
      <c r="D62" s="203">
        <f>IF(ISERROR((K41/I41)^(1/2)-1),0,(K41/I41)^(1/2)-1)</f>
        <v>0</v>
      </c>
      <c r="E62" s="203">
        <f>IF(ISERROR((K52/I52)^(1/2)-1),0,(K52/I52)^(1/2)-1)</f>
        <v>0</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-2.9999999999999694E-2</v>
      </c>
      <c r="E64" s="203">
        <f>IF(ISERROR(D42/K52-1),0,D42/K52-1)</f>
        <v>-3.0006542493052124E-2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-2.5012820597111629E-2</v>
      </c>
      <c r="D65" s="203">
        <f>IF(ISERROR((E38/K41)^(1/2)-1),0,(E38/K41)^(1/2)-1)</f>
        <v>-2.5012820597111518E-2</v>
      </c>
      <c r="E65" s="203">
        <f>IF(ISERROR((E42/K52)^(1/2)-1),0,(E42/K52)^(1/2)-1)</f>
        <v>-2.501610866804127E-2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102126.93399999999</v>
      </c>
      <c r="T8" s="180">
        <v>20863.874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594142.01399999997</v>
      </c>
      <c r="T9" s="182">
        <v>421552.62900000002</v>
      </c>
      <c r="U9" s="110"/>
      <c r="V9" s="2"/>
      <c r="W9" s="2"/>
      <c r="X9" s="2"/>
      <c r="Y9" s="2"/>
      <c r="Z9" s="2"/>
    </row>
    <row r="10" spans="1:26" ht="15" customHeight="1" x14ac:dyDescent="0.2">
      <c r="A10" s="24"/>
      <c r="B10" s="111" t="s">
        <v>118</v>
      </c>
      <c r="C10" s="111"/>
      <c r="D10" s="121"/>
      <c r="E10" s="150">
        <v>46022</v>
      </c>
      <c r="F10" s="2"/>
      <c r="G10" s="122" t="s">
        <v>34</v>
      </c>
      <c r="H10" s="122"/>
      <c r="I10" s="180">
        <v>6157358.5389999999</v>
      </c>
      <c r="J10" s="180">
        <v>6305060.1730000004</v>
      </c>
      <c r="K10" s="180">
        <v>5320344.78</v>
      </c>
      <c r="L10" s="183">
        <v>0</v>
      </c>
      <c r="M10" s="184">
        <v>0</v>
      </c>
      <c r="N10" s="185">
        <f>K10+M10-L10</f>
        <v>5320344.78</v>
      </c>
      <c r="O10" s="2"/>
      <c r="P10" s="111" t="s">
        <v>119</v>
      </c>
      <c r="Q10" s="123"/>
      <c r="R10" s="123"/>
      <c r="S10" s="182">
        <v>2573014.5460000001</v>
      </c>
      <c r="T10" s="182">
        <v>1814973.9140000001</v>
      </c>
      <c r="U10" s="110"/>
      <c r="V10" s="2"/>
      <c r="W10" s="2"/>
      <c r="X10" s="2"/>
      <c r="Y10" s="2"/>
      <c r="Z10" s="2"/>
    </row>
    <row r="11" spans="1:26" ht="15" customHeight="1" x14ac:dyDescent="0.2">
      <c r="A11" s="24"/>
      <c r="B11" s="111" t="s">
        <v>120</v>
      </c>
      <c r="C11" s="111"/>
      <c r="D11" s="117"/>
      <c r="E11" s="149" t="s">
        <v>121</v>
      </c>
      <c r="F11" s="2"/>
      <c r="G11" s="111" t="s">
        <v>122</v>
      </c>
      <c r="H11" s="111"/>
      <c r="I11" s="182">
        <v>6001720.1200000001</v>
      </c>
      <c r="J11" s="182">
        <v>6602787.7010000004</v>
      </c>
      <c r="K11" s="182">
        <v>5140249.6090000002</v>
      </c>
      <c r="L11" s="186">
        <v>0</v>
      </c>
      <c r="M11" s="187">
        <v>0</v>
      </c>
      <c r="N11" s="188">
        <f>K11+M11-L11</f>
        <v>5140249.6090000002</v>
      </c>
      <c r="O11" s="189"/>
      <c r="P11" s="111" t="s">
        <v>123</v>
      </c>
      <c r="Q11" s="190"/>
      <c r="R11" s="190"/>
      <c r="S11" s="182">
        <v>194760.7940000002</v>
      </c>
      <c r="T11" s="182">
        <v>119585.1550000003</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155638.41899999976</v>
      </c>
      <c r="J12" s="185">
        <f t="shared" si="0"/>
        <v>-297727.52799999993</v>
      </c>
      <c r="K12" s="185">
        <f t="shared" si="0"/>
        <v>180095.17100000009</v>
      </c>
      <c r="L12" s="191">
        <f t="shared" si="0"/>
        <v>0</v>
      </c>
      <c r="M12" s="192">
        <f t="shared" si="0"/>
        <v>0</v>
      </c>
      <c r="N12" s="185">
        <f t="shared" si="0"/>
        <v>180095.17100000009</v>
      </c>
      <c r="O12" s="2"/>
      <c r="P12" s="124" t="s">
        <v>126</v>
      </c>
      <c r="Q12" s="120"/>
      <c r="R12" s="120"/>
      <c r="S12" s="185">
        <f>SUM(S8:S11)</f>
        <v>3464044.2880000002</v>
      </c>
      <c r="T12" s="185">
        <f>SUM(T8:T11)</f>
        <v>2376975.5720000006</v>
      </c>
      <c r="U12" s="110"/>
      <c r="V12" s="2"/>
      <c r="W12" s="2"/>
      <c r="X12" s="2"/>
      <c r="Y12" s="2"/>
      <c r="Z12" s="2"/>
    </row>
    <row r="13" spans="1:26" ht="12.75" customHeight="1" x14ac:dyDescent="0.2">
      <c r="A13" s="24"/>
      <c r="B13" s="111" t="s">
        <v>127</v>
      </c>
      <c r="C13" s="111"/>
      <c r="D13" s="193"/>
      <c r="E13" s="194">
        <v>1.1000000000000001</v>
      </c>
      <c r="F13" s="2"/>
      <c r="G13" s="111" t="s">
        <v>128</v>
      </c>
      <c r="H13" s="125"/>
      <c r="I13" s="182">
        <v>88022.513999999996</v>
      </c>
      <c r="J13" s="182">
        <v>116261.409</v>
      </c>
      <c r="K13" s="182">
        <v>90955.85</v>
      </c>
      <c r="L13" s="186">
        <v>0</v>
      </c>
      <c r="M13" s="187">
        <v>0</v>
      </c>
      <c r="N13" s="195">
        <f>K13+M13-L13</f>
        <v>90955.85</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-68130.550999999978</v>
      </c>
      <c r="J14" s="197">
        <v>55782.32799999998</v>
      </c>
      <c r="K14" s="197">
        <v>-7043.4939999999924</v>
      </c>
      <c r="L14" s="198">
        <v>0</v>
      </c>
      <c r="M14" s="199">
        <v>0</v>
      </c>
      <c r="N14" s="200">
        <f>K14+M14-L14</f>
        <v>-7043.4939999999924</v>
      </c>
      <c r="O14" s="2"/>
      <c r="P14" s="111" t="s">
        <v>131</v>
      </c>
      <c r="Q14" s="123"/>
      <c r="R14" s="123"/>
      <c r="S14" s="182">
        <v>320369.10399999999</v>
      </c>
      <c r="T14" s="182">
        <v>306573.42800000001</v>
      </c>
      <c r="U14" s="110"/>
      <c r="V14" s="2"/>
      <c r="W14" s="2"/>
      <c r="X14" s="2"/>
      <c r="Y14" s="2"/>
      <c r="Z14" s="2"/>
    </row>
    <row r="15" spans="1:26" ht="12.75" customHeight="1" x14ac:dyDescent="0.2">
      <c r="A15" s="24"/>
      <c r="B15" s="2"/>
      <c r="C15" s="2"/>
      <c r="D15" s="2"/>
      <c r="E15" s="2"/>
      <c r="F15" s="2"/>
      <c r="G15" s="122" t="s">
        <v>132</v>
      </c>
      <c r="H15" s="125"/>
      <c r="I15" s="185">
        <f t="shared" ref="I15:N15" si="1">I12-SUM(I13:I14)</f>
        <v>135746.45599999974</v>
      </c>
      <c r="J15" s="185">
        <f t="shared" si="1"/>
        <v>-469771.2649999999</v>
      </c>
      <c r="K15" s="185">
        <f t="shared" si="1"/>
        <v>96182.815000000075</v>
      </c>
      <c r="L15" s="191">
        <f t="shared" si="1"/>
        <v>0</v>
      </c>
      <c r="M15" s="192">
        <f t="shared" si="1"/>
        <v>0</v>
      </c>
      <c r="N15" s="185">
        <f t="shared" si="1"/>
        <v>96182.815000000075</v>
      </c>
      <c r="O15" s="2"/>
      <c r="P15" s="111" t="s">
        <v>133</v>
      </c>
      <c r="Q15" s="120"/>
      <c r="R15" s="120"/>
      <c r="S15" s="182">
        <v>92870.527000000002</v>
      </c>
      <c r="T15" s="182">
        <v>90495.589000000007</v>
      </c>
      <c r="U15" s="110"/>
      <c r="V15" s="2"/>
      <c r="W15" s="2"/>
      <c r="X15" s="2"/>
      <c r="Y15" s="2"/>
      <c r="Z15" s="2"/>
    </row>
    <row r="16" spans="1:26" ht="15" customHeight="1" x14ac:dyDescent="0.2">
      <c r="A16" s="24"/>
      <c r="B16" s="271" t="s">
        <v>134</v>
      </c>
      <c r="C16" s="269"/>
      <c r="D16" s="269"/>
      <c r="E16" s="269"/>
      <c r="F16" s="2"/>
      <c r="G16" s="111" t="s">
        <v>135</v>
      </c>
      <c r="H16" s="125"/>
      <c r="I16" s="182">
        <v>116539.556</v>
      </c>
      <c r="J16" s="182">
        <v>103851.3</v>
      </c>
      <c r="K16" s="182">
        <v>91217.796000000002</v>
      </c>
      <c r="L16" s="186">
        <v>0</v>
      </c>
      <c r="M16" s="187">
        <v>0</v>
      </c>
      <c r="N16" s="188">
        <f>K16+M16-L16</f>
        <v>91217.796000000002</v>
      </c>
      <c r="O16" s="2"/>
      <c r="P16" s="111" t="s">
        <v>136</v>
      </c>
      <c r="Q16" s="123"/>
      <c r="R16" s="123"/>
      <c r="S16" s="182">
        <v>54452.524999999972</v>
      </c>
      <c r="T16" s="182">
        <v>73979.850999999762</v>
      </c>
      <c r="U16" s="110"/>
      <c r="V16" s="2"/>
      <c r="W16" s="2"/>
      <c r="X16" s="2"/>
      <c r="Y16" s="2"/>
      <c r="Z16" s="2"/>
    </row>
    <row r="17" spans="1:26" ht="15" customHeight="1" x14ac:dyDescent="0.2">
      <c r="A17" s="24"/>
      <c r="B17" s="111" t="s">
        <v>137</v>
      </c>
      <c r="C17" s="111"/>
      <c r="D17" s="126">
        <v>0</v>
      </c>
      <c r="E17" s="201">
        <v>4380</v>
      </c>
      <c r="F17" s="2"/>
      <c r="G17" s="122" t="s">
        <v>138</v>
      </c>
      <c r="H17" s="111"/>
      <c r="I17" s="185">
        <f t="shared" ref="I17:N17" si="2">I15-SUM(I16)</f>
        <v>19206.899999999747</v>
      </c>
      <c r="J17" s="185">
        <f t="shared" si="2"/>
        <v>-573622.56499999994</v>
      </c>
      <c r="K17" s="185">
        <f t="shared" si="2"/>
        <v>4965.019000000073</v>
      </c>
      <c r="L17" s="191">
        <f t="shared" si="2"/>
        <v>0</v>
      </c>
      <c r="M17" s="192">
        <f t="shared" si="2"/>
        <v>0</v>
      </c>
      <c r="N17" s="185">
        <f t="shared" si="2"/>
        <v>4965.019000000073</v>
      </c>
      <c r="O17" s="2"/>
      <c r="P17" s="124" t="s">
        <v>139</v>
      </c>
      <c r="Q17" s="120"/>
      <c r="R17" s="120"/>
      <c r="S17" s="202">
        <f>SUM(S12:S16)</f>
        <v>3931736.4439999997</v>
      </c>
      <c r="T17" s="202">
        <f>SUM(T12:T16)</f>
        <v>2848024.4400000004</v>
      </c>
      <c r="U17" s="110"/>
      <c r="V17" s="2"/>
      <c r="W17" s="2"/>
      <c r="X17" s="2"/>
      <c r="Y17" s="2"/>
      <c r="Z17" s="2"/>
    </row>
    <row r="18" spans="1:26" ht="12.75" customHeight="1" x14ac:dyDescent="0.2">
      <c r="A18" s="127"/>
      <c r="B18" s="128" t="s">
        <v>140</v>
      </c>
      <c r="C18" s="128"/>
      <c r="D18" s="129"/>
      <c r="E18" s="203">
        <f>+IF(ISERROR(E17/E19),"NA",E17/E19)</f>
        <v>0.65373134328358207</v>
      </c>
      <c r="F18" s="2"/>
      <c r="G18" s="111" t="s">
        <v>141</v>
      </c>
      <c r="H18" s="111"/>
      <c r="I18" s="182">
        <v>15102.977999999999</v>
      </c>
      <c r="J18" s="182">
        <v>24092.366000000002</v>
      </c>
      <c r="K18" s="182">
        <v>-739.32100000000003</v>
      </c>
      <c r="L18" s="186">
        <v>0</v>
      </c>
      <c r="M18" s="187">
        <v>0</v>
      </c>
      <c r="N18" s="195">
        <f>K18+M18-L18</f>
        <v>-739.32100000000003</v>
      </c>
      <c r="O18" s="2"/>
      <c r="P18" s="111"/>
      <c r="Q18" s="111"/>
      <c r="R18" s="111"/>
      <c r="S18" s="111"/>
      <c r="T18" s="111"/>
      <c r="U18" s="110"/>
      <c r="V18" s="2"/>
      <c r="W18" s="2"/>
      <c r="X18" s="2"/>
      <c r="Y18" s="2"/>
      <c r="Z18" s="2"/>
    </row>
    <row r="19" spans="1:26" ht="15" customHeight="1" x14ac:dyDescent="0.2">
      <c r="A19" s="24"/>
      <c r="B19" s="111" t="s">
        <v>142</v>
      </c>
      <c r="C19" s="111"/>
      <c r="D19" s="204">
        <v>0</v>
      </c>
      <c r="E19" s="205">
        <v>6700</v>
      </c>
      <c r="F19" s="2"/>
      <c r="G19" s="111" t="s">
        <v>143</v>
      </c>
      <c r="H19" s="111"/>
      <c r="I19" s="197">
        <v>148.09200000000001</v>
      </c>
      <c r="J19" s="197">
        <v>-11777.981</v>
      </c>
      <c r="K19" s="197">
        <v>598.85299999999995</v>
      </c>
      <c r="L19" s="198">
        <v>0</v>
      </c>
      <c r="M19" s="199">
        <v>0</v>
      </c>
      <c r="N19" s="206">
        <f>K19+M19-L19</f>
        <v>598.85299999999995</v>
      </c>
      <c r="O19" s="2"/>
      <c r="P19" s="111" t="s">
        <v>144</v>
      </c>
      <c r="Q19" s="123"/>
      <c r="R19" s="123"/>
      <c r="S19" s="182">
        <v>389312.29499999998</v>
      </c>
      <c r="T19" s="182">
        <v>235784.38399999999</v>
      </c>
      <c r="U19" s="110"/>
      <c r="V19" s="2"/>
      <c r="W19" s="2"/>
      <c r="X19" s="2"/>
      <c r="Y19" s="2"/>
      <c r="Z19" s="2"/>
    </row>
    <row r="20" spans="1:26" ht="15" customHeight="1" x14ac:dyDescent="0.2">
      <c r="A20" s="24"/>
      <c r="B20" s="111" t="s">
        <v>145</v>
      </c>
      <c r="C20" s="111"/>
      <c r="D20" s="204">
        <v>0</v>
      </c>
      <c r="E20" s="205">
        <v>4300</v>
      </c>
      <c r="F20" s="2"/>
      <c r="G20" s="111" t="s">
        <v>146</v>
      </c>
      <c r="H20" s="111"/>
      <c r="I20" s="197">
        <v>0</v>
      </c>
      <c r="J20" s="197">
        <v>0</v>
      </c>
      <c r="K20" s="197">
        <v>0</v>
      </c>
      <c r="L20" s="198">
        <v>0</v>
      </c>
      <c r="M20" s="199">
        <v>0</v>
      </c>
      <c r="N20" s="200">
        <f>K20+M20-L20</f>
        <v>0</v>
      </c>
      <c r="O20" s="2"/>
      <c r="P20" s="111" t="s">
        <v>147</v>
      </c>
      <c r="Q20" s="190"/>
      <c r="R20" s="190"/>
      <c r="S20" s="182">
        <v>4172.9569999999994</v>
      </c>
      <c r="T20" s="182">
        <v>2125.1819999999998</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3955.8299999997471</v>
      </c>
      <c r="J21" s="202">
        <f t="shared" si="3"/>
        <v>-585936.94999999995</v>
      </c>
      <c r="K21" s="202">
        <f t="shared" si="3"/>
        <v>5105.4870000000728</v>
      </c>
      <c r="L21" s="207">
        <f t="shared" si="3"/>
        <v>0</v>
      </c>
      <c r="M21" s="208">
        <f t="shared" si="3"/>
        <v>0</v>
      </c>
      <c r="N21" s="202">
        <f t="shared" si="3"/>
        <v>5105.4870000000728</v>
      </c>
      <c r="O21" s="2"/>
      <c r="P21" s="111" t="s">
        <v>150</v>
      </c>
      <c r="Q21" s="120"/>
      <c r="R21" s="120"/>
      <c r="S21" s="182">
        <v>2254636.7710000002</v>
      </c>
      <c r="T21" s="182">
        <v>1321316.0959999999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0.78633084985084523</v>
      </c>
      <c r="J22" s="203">
        <f t="shared" si="4"/>
        <v>-4.2000380511530266E-2</v>
      </c>
      <c r="K22" s="203">
        <f t="shared" si="4"/>
        <v>-0.14890597598921357</v>
      </c>
      <c r="L22" s="209" t="str">
        <f t="shared" si="4"/>
        <v>NA</v>
      </c>
      <c r="M22" s="210" t="str">
        <f t="shared" si="4"/>
        <v>NA</v>
      </c>
      <c r="N22" s="203">
        <f t="shared" si="4"/>
        <v>-0.14890597598921357</v>
      </c>
      <c r="O22" s="2"/>
      <c r="P22" s="124" t="s">
        <v>152</v>
      </c>
      <c r="Q22" s="123"/>
      <c r="R22" s="123"/>
      <c r="S22" s="185">
        <f>SUM(S19:S21)</f>
        <v>2648122.023</v>
      </c>
      <c r="T22" s="185">
        <f>SUM(T19:T21)</f>
        <v>1559225.662</v>
      </c>
      <c r="U22" s="110"/>
      <c r="V22" s="2"/>
      <c r="W22" s="2"/>
      <c r="X22" s="2"/>
      <c r="Y22" s="2"/>
      <c r="Z22" s="2"/>
    </row>
    <row r="23" spans="1:26" ht="15" customHeight="1" x14ac:dyDescent="0.2">
      <c r="A23" s="24"/>
      <c r="B23" s="111" t="s">
        <v>153</v>
      </c>
      <c r="C23" s="111"/>
      <c r="D23" s="111"/>
      <c r="E23" s="211">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491961.67446000001</v>
      </c>
      <c r="F24" s="2"/>
      <c r="G24" s="111" t="s">
        <v>155</v>
      </c>
      <c r="H24" s="111"/>
      <c r="I24" s="182">
        <v>112.32001700000001</v>
      </c>
      <c r="J24" s="182">
        <v>112.32001700000001</v>
      </c>
      <c r="K24" s="182">
        <v>112.32001700000001</v>
      </c>
      <c r="L24" s="186">
        <v>0</v>
      </c>
      <c r="M24" s="187">
        <v>0</v>
      </c>
      <c r="N24" s="195">
        <f>+IF(ISERROR(K24+M24-L24),"NA",K24+M24-L24)</f>
        <v>112.32001700000001</v>
      </c>
      <c r="O24" s="2"/>
      <c r="P24" s="133" t="s">
        <v>156</v>
      </c>
      <c r="Q24" s="120"/>
      <c r="R24" s="120"/>
      <c r="S24" s="182">
        <v>2038428.7069999999</v>
      </c>
      <c r="T24" s="182">
        <v>1268941.94</v>
      </c>
      <c r="U24" s="110"/>
      <c r="V24" s="2"/>
      <c r="W24" s="2"/>
      <c r="X24" s="2"/>
      <c r="Y24" s="2"/>
      <c r="Z24" s="2"/>
    </row>
    <row r="25" spans="1:26" ht="15" customHeight="1" x14ac:dyDescent="0.2">
      <c r="A25" s="24"/>
      <c r="B25" s="111"/>
      <c r="C25" s="111"/>
      <c r="D25" s="111"/>
      <c r="E25" s="111"/>
      <c r="F25" s="2"/>
      <c r="G25" s="111" t="s">
        <v>157</v>
      </c>
      <c r="H25" s="111"/>
      <c r="I25" s="213">
        <f>IF(ISERROR(I21/I24),"NA",I21/I24)</f>
        <v>35.219278857478692</v>
      </c>
      <c r="J25" s="213">
        <f>+IF(ISERROR(J21/J24),"NA",J21/J24)</f>
        <v>-5216.6743350831221</v>
      </c>
      <c r="K25" s="213">
        <f>+IF(ISERROR(K21/K24),"NA",K21/K24)</f>
        <v>45.454827521972973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1268941.94</v>
      </c>
      <c r="F26" s="2"/>
      <c r="G26" s="2"/>
      <c r="H26" s="2"/>
      <c r="I26" s="2"/>
      <c r="J26" s="2"/>
      <c r="K26" s="2"/>
      <c r="L26" s="2"/>
      <c r="M26" s="2"/>
      <c r="N26" s="2"/>
      <c r="O26" s="2"/>
      <c r="P26" s="124" t="s">
        <v>160</v>
      </c>
      <c r="Q26" s="111"/>
      <c r="R26" s="111"/>
      <c r="S26" s="185">
        <f>S22+SUM(S24:S25)</f>
        <v>4686550.7300000004</v>
      </c>
      <c r="T26" s="185">
        <f>T22+SUM(T24:T25)</f>
        <v>2828167.602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598.85299999999995</v>
      </c>
      <c r="F28" s="2"/>
      <c r="G28" s="271" t="s">
        <v>163</v>
      </c>
      <c r="H28" s="269"/>
      <c r="I28" s="269"/>
      <c r="J28" s="269"/>
      <c r="K28" s="269"/>
      <c r="L28" s="269"/>
      <c r="M28" s="269"/>
      <c r="N28" s="269"/>
      <c r="O28" s="2"/>
      <c r="P28" s="111" t="s">
        <v>143</v>
      </c>
      <c r="Q28" s="136"/>
      <c r="R28" s="136"/>
      <c r="S28" s="182">
        <v>-11777.981</v>
      </c>
      <c r="T28" s="182">
        <v>598.85299999999995</v>
      </c>
      <c r="U28" s="110"/>
      <c r="V28" s="2"/>
      <c r="W28" s="2"/>
      <c r="X28" s="2"/>
      <c r="Y28" s="2"/>
      <c r="Z28" s="2"/>
    </row>
    <row r="29" spans="1:26" ht="15" customHeight="1" x14ac:dyDescent="0.2">
      <c r="A29" s="24"/>
      <c r="B29" s="111" t="s">
        <v>164</v>
      </c>
      <c r="C29" s="111"/>
      <c r="D29" s="111"/>
      <c r="E29" s="217">
        <f>-T8</f>
        <v>-20863.874</v>
      </c>
      <c r="F29" s="2"/>
      <c r="G29" s="111" t="s">
        <v>165</v>
      </c>
      <c r="H29" s="111"/>
      <c r="I29" s="218">
        <f t="shared" ref="I29:N29" si="5">I12</f>
        <v>155638.41899999976</v>
      </c>
      <c r="J29" s="218">
        <f t="shared" si="5"/>
        <v>-297727.52799999993</v>
      </c>
      <c r="K29" s="218">
        <f t="shared" si="5"/>
        <v>180095.17100000009</v>
      </c>
      <c r="L29" s="219">
        <f t="shared" si="5"/>
        <v>0</v>
      </c>
      <c r="M29" s="220">
        <f t="shared" si="5"/>
        <v>0</v>
      </c>
      <c r="N29" s="218">
        <f t="shared" si="5"/>
        <v>180095.17100000009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1740638.5934599997</v>
      </c>
      <c r="F30" s="221"/>
      <c r="G30" s="111" t="s">
        <v>168</v>
      </c>
      <c r="H30" s="111"/>
      <c r="I30" s="223">
        <v>0</v>
      </c>
      <c r="J30" s="223">
        <v>0</v>
      </c>
      <c r="K30" s="223">
        <v>0</v>
      </c>
      <c r="L30" s="186">
        <v>0</v>
      </c>
      <c r="M30" s="187">
        <v>0</v>
      </c>
      <c r="N30" s="188">
        <f>K30+M30-L30</f>
        <v>0</v>
      </c>
      <c r="O30" s="2"/>
      <c r="P30" s="133" t="s">
        <v>169</v>
      </c>
      <c r="Q30" s="224"/>
      <c r="R30" s="224"/>
      <c r="S30" s="182">
        <v>1258146.8799999999</v>
      </c>
      <c r="T30" s="182">
        <v>1263780.503</v>
      </c>
      <c r="U30" s="2"/>
      <c r="V30" s="2"/>
      <c r="W30" s="2"/>
      <c r="X30" s="2"/>
      <c r="Y30" s="2"/>
      <c r="Z30" s="2"/>
    </row>
    <row r="31" spans="1:26" ht="15" customHeight="1" x14ac:dyDescent="0.2">
      <c r="A31" s="24"/>
      <c r="B31" s="2"/>
      <c r="C31" s="2"/>
      <c r="D31" s="2"/>
      <c r="E31" s="2"/>
      <c r="F31" s="221"/>
      <c r="G31" s="122" t="s">
        <v>170</v>
      </c>
      <c r="H31" s="111"/>
      <c r="I31" s="185">
        <f t="shared" ref="I31:N31" si="6">SUM(I29:I30)</f>
        <v>155638.41899999976</v>
      </c>
      <c r="J31" s="185">
        <f t="shared" si="6"/>
        <v>-297727.52799999993</v>
      </c>
      <c r="K31" s="185">
        <f t="shared" si="6"/>
        <v>180095.17100000009</v>
      </c>
      <c r="L31" s="191">
        <f t="shared" si="6"/>
        <v>0</v>
      </c>
      <c r="M31" s="192">
        <f t="shared" si="6"/>
        <v>0</v>
      </c>
      <c r="N31" s="185">
        <f t="shared" si="6"/>
        <v>180095.17100000009</v>
      </c>
      <c r="O31" s="2"/>
      <c r="P31" s="124" t="s">
        <v>171</v>
      </c>
      <c r="Q31" s="224"/>
      <c r="R31" s="224"/>
      <c r="S31" s="202">
        <f>S26+SUM(S28:S30)</f>
        <v>5932919.6290000007</v>
      </c>
      <c r="T31" s="202">
        <f>T26+SUM(T28:T30)</f>
        <v>4092546.9579999996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2.527681602658087E-2</v>
      </c>
      <c r="J32" s="203">
        <f t="shared" si="7"/>
        <v>-4.7220410246828569E-2</v>
      </c>
      <c r="K32" s="203">
        <f t="shared" si="7"/>
        <v>3.3850281973643086E-2</v>
      </c>
      <c r="L32" s="209" t="str">
        <f t="shared" si="7"/>
        <v>NA</v>
      </c>
      <c r="M32" s="210" t="str">
        <f t="shared" si="7"/>
        <v>NA</v>
      </c>
      <c r="N32" s="203">
        <f t="shared" si="7"/>
        <v>3.3850281973643086E-2</v>
      </c>
      <c r="O32" s="2"/>
      <c r="P32" s="128" t="s">
        <v>174</v>
      </c>
      <c r="Q32" s="137"/>
      <c r="R32" s="137"/>
      <c r="S32" s="225">
        <f>S17-S31</f>
        <v>-2001183.185000001</v>
      </c>
      <c r="T32" s="225">
        <f>T17-T31</f>
        <v>-1244522.5179999992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135746.45599999974</v>
      </c>
      <c r="J34" s="218">
        <f t="shared" si="8"/>
        <v>-469771.2649999999</v>
      </c>
      <c r="K34" s="218">
        <f t="shared" si="8"/>
        <v>96182.815000000075</v>
      </c>
      <c r="L34" s="227">
        <f t="shared" si="8"/>
        <v>0</v>
      </c>
      <c r="M34" s="228">
        <f t="shared" si="8"/>
        <v>0</v>
      </c>
      <c r="N34" s="218">
        <f t="shared" si="8"/>
        <v>96182.815000000075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0.3271665024423473</v>
      </c>
      <c r="D35" s="229">
        <f>IF(ISERROR($E$30/D36),"NA",$E$30/D36)</f>
        <v>0.33728505406427556</v>
      </c>
      <c r="E35" s="229">
        <f>IF(ISERROR($E$30/E36),"NA",$E$30/E36)</f>
        <v>0.34416842251456692</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112.32001700000001</v>
      </c>
      <c r="U35" s="110"/>
      <c r="V35" s="2"/>
      <c r="W35" s="2"/>
      <c r="X35" s="2"/>
      <c r="Y35" s="2"/>
      <c r="Z35" s="2"/>
    </row>
    <row r="36" spans="1:26" ht="15" customHeight="1" x14ac:dyDescent="0.2">
      <c r="A36" s="24"/>
      <c r="B36" s="111" t="s">
        <v>181</v>
      </c>
      <c r="C36" s="218">
        <f>N10</f>
        <v>5320344.78</v>
      </c>
      <c r="D36" s="180">
        <v>5160734.4365999997</v>
      </c>
      <c r="E36" s="180">
        <v>5057519.7478679996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14.015957154508769</v>
      </c>
      <c r="D37" s="229">
        <f>IF(ISERROR($E$30/D38),"NA",$E$30/D38)</f>
        <v>14.449440481822643</v>
      </c>
      <c r="E37" s="229">
        <f>IF(ISERROR($E$30/E38),"NA",$E$30/E38)</f>
        <v>14.744327022268005</v>
      </c>
      <c r="F37" s="2"/>
      <c r="G37" s="122" t="s">
        <v>185</v>
      </c>
      <c r="H37" s="111"/>
      <c r="I37" s="185">
        <f t="shared" ref="I37:N37" si="10">SUM(I34:I36)</f>
        <v>135746.45599999974</v>
      </c>
      <c r="J37" s="185">
        <f t="shared" si="10"/>
        <v>-469771.2649999999</v>
      </c>
      <c r="K37" s="185">
        <f t="shared" si="10"/>
        <v>96182.815000000075</v>
      </c>
      <c r="L37" s="191">
        <f t="shared" si="10"/>
        <v>0</v>
      </c>
      <c r="M37" s="192">
        <f t="shared" si="10"/>
        <v>0</v>
      </c>
      <c r="N37" s="185">
        <f t="shared" si="10"/>
        <v>96182.815000000075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124189.77700000007</v>
      </c>
      <c r="D38" s="180">
        <v>120464.08272000001</v>
      </c>
      <c r="E38" s="180">
        <v>118054.8010656</v>
      </c>
      <c r="F38" s="2"/>
      <c r="G38" s="128" t="s">
        <v>173</v>
      </c>
      <c r="H38" s="128"/>
      <c r="I38" s="203">
        <f t="shared" ref="I38:N38" si="11">IF(ISERROR(I37/I10),"NA",I37/I10)</f>
        <v>2.2046215944742754E-2</v>
      </c>
      <c r="J38" s="203">
        <f t="shared" si="11"/>
        <v>-7.4507023265485944E-2</v>
      </c>
      <c r="K38" s="203">
        <f t="shared" si="11"/>
        <v>1.8078304880083367E-2</v>
      </c>
      <c r="L38" s="209" t="str">
        <f t="shared" si="11"/>
        <v>NA</v>
      </c>
      <c r="M38" s="210" t="str">
        <f t="shared" si="11"/>
        <v>NA</v>
      </c>
      <c r="N38" s="203">
        <f t="shared" si="11"/>
        <v>1.8078304880083367E-2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18.09718912323369</v>
      </c>
      <c r="D39" s="229">
        <f>IF(ISERROR($E$30/D40),"NA",$E$30/D40)</f>
        <v>18.656896197306999</v>
      </c>
      <c r="E39" s="229">
        <f>IF(ISERROR($E$30/E40),"NA",$E$30/E40)</f>
        <v>19.037649180925509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96182.815000000075</v>
      </c>
      <c r="D40" s="180">
        <v>93297.329579999991</v>
      </c>
      <c r="E40" s="180">
        <v>91431.382988399986</v>
      </c>
      <c r="F40" s="237"/>
      <c r="G40" s="111" t="s">
        <v>190</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191</v>
      </c>
      <c r="Q40" s="111"/>
      <c r="R40" s="111"/>
      <c r="S40" s="111"/>
      <c r="T40" s="238">
        <f>T35+SUM(T38:T39)</f>
        <v>112.32001700000001</v>
      </c>
      <c r="U40" s="110"/>
      <c r="V40" s="2"/>
      <c r="W40" s="2"/>
      <c r="X40" s="2"/>
      <c r="Y40" s="2"/>
      <c r="Z40" s="2"/>
    </row>
    <row r="41" spans="1:26" ht="12.75" customHeight="1" x14ac:dyDescent="0.2">
      <c r="A41" s="24"/>
      <c r="B41" s="111" t="s">
        <v>192</v>
      </c>
      <c r="C41" s="229">
        <f>IF(ISERROR($E$17/N52),"NA",E17/N52)</f>
        <v>96.359402043329666</v>
      </c>
      <c r="D41" s="229">
        <f>IF(ISERROR($E$17/D42),"NA",$E$17/D42)</f>
        <v>100.34364261168385</v>
      </c>
      <c r="E41" s="229">
        <f>IF(ISERROR($E$17/E42),"NA",$E$17/E42)</f>
        <v>102.39147205273862</v>
      </c>
      <c r="F41" s="2"/>
      <c r="G41" s="122" t="s">
        <v>193</v>
      </c>
      <c r="H41" s="111"/>
      <c r="I41" s="185">
        <f t="shared" ref="I41:N41" si="13">I40+I37</f>
        <v>165871.93099999975</v>
      </c>
      <c r="J41" s="185">
        <f t="shared" si="13"/>
        <v>-441329.0749999999</v>
      </c>
      <c r="K41" s="185">
        <f t="shared" si="13"/>
        <v>124189.77700000007</v>
      </c>
      <c r="L41" s="191">
        <f t="shared" si="13"/>
        <v>0</v>
      </c>
      <c r="M41" s="192">
        <f t="shared" si="13"/>
        <v>0</v>
      </c>
      <c r="N41" s="185">
        <f t="shared" si="13"/>
        <v>124189.77700000007</v>
      </c>
      <c r="O41" s="2"/>
      <c r="P41" s="111"/>
      <c r="Q41" s="111"/>
      <c r="R41" s="111"/>
      <c r="S41" s="111"/>
      <c r="T41" s="111"/>
      <c r="U41" s="110"/>
      <c r="V41" s="2"/>
      <c r="W41" s="2"/>
      <c r="X41" s="2"/>
      <c r="Y41" s="2"/>
      <c r="Z41" s="2"/>
    </row>
    <row r="42" spans="1:26" ht="15" customHeight="1" x14ac:dyDescent="0.2">
      <c r="A42" s="24"/>
      <c r="B42" s="111" t="s">
        <v>181</v>
      </c>
      <c r="C42" s="213">
        <f>N52</f>
        <v>45.454827521972973</v>
      </c>
      <c r="D42" s="201">
        <v>43.65</v>
      </c>
      <c r="E42" s="201">
        <v>42.777000000000001</v>
      </c>
      <c r="F42" s="2"/>
      <c r="G42" s="128" t="s">
        <v>173</v>
      </c>
      <c r="H42" s="128"/>
      <c r="I42" s="203">
        <f t="shared" ref="I42:N42" si="14">IF(ISERROR(I41/I10),"NA",I41/I10)</f>
        <v>2.6938813120818941E-2</v>
      </c>
      <c r="J42" s="203">
        <f t="shared" si="14"/>
        <v>-6.9996013184757885E-2</v>
      </c>
      <c r="K42" s="203">
        <f t="shared" si="14"/>
        <v>2.3342430262574085E-2</v>
      </c>
      <c r="L42" s="209" t="str">
        <f t="shared" si="14"/>
        <v>NA</v>
      </c>
      <c r="M42" s="210" t="str">
        <f t="shared" si="14"/>
        <v>NA</v>
      </c>
      <c r="N42" s="203">
        <f t="shared" si="14"/>
        <v>2.3342430262574085E-2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3955.8299999997471</v>
      </c>
      <c r="J44" s="218">
        <f t="shared" si="15"/>
        <v>-585936.94999999995</v>
      </c>
      <c r="K44" s="218">
        <f t="shared" si="15"/>
        <v>5105.4870000000728</v>
      </c>
      <c r="L44" s="227">
        <f t="shared" si="15"/>
        <v>0</v>
      </c>
      <c r="M44" s="228">
        <f t="shared" si="15"/>
        <v>0</v>
      </c>
      <c r="N44" s="218">
        <f t="shared" si="15"/>
        <v>5105.4870000000728</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3.3711053842028861E-2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4.0488770885438877E-3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1.5060964796114993E-3</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3955.8299999997471</v>
      </c>
      <c r="J49" s="202">
        <f t="shared" si="19"/>
        <v>-585936.94999999995</v>
      </c>
      <c r="K49" s="202">
        <f t="shared" si="19"/>
        <v>5105.4870000000728</v>
      </c>
      <c r="L49" s="207">
        <f t="shared" si="19"/>
        <v>0</v>
      </c>
      <c r="M49" s="208">
        <f t="shared" si="19"/>
        <v>0</v>
      </c>
      <c r="N49" s="202">
        <f t="shared" si="19"/>
        <v>5105.4870000000728</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6.4245568533064553E-4</v>
      </c>
      <c r="J50" s="203">
        <f t="shared" si="20"/>
        <v>-9.2931222529666402E-2</v>
      </c>
      <c r="K50" s="203">
        <f t="shared" si="20"/>
        <v>9.5961581647723069E-4</v>
      </c>
      <c r="L50" s="209" t="str">
        <f t="shared" si="20"/>
        <v>NA</v>
      </c>
      <c r="M50" s="210" t="str">
        <f t="shared" si="20"/>
        <v>NA</v>
      </c>
      <c r="N50" s="203">
        <f t="shared" si="20"/>
        <v>9.5961581647723069E-4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10.217764864816523</v>
      </c>
      <c r="F52" s="2"/>
      <c r="G52" s="111" t="s">
        <v>219</v>
      </c>
      <c r="H52" s="111"/>
      <c r="I52" s="213">
        <f t="shared" ref="I52:N52" si="21">IF(ISERROR(I49/I24),0,I49/I24)</f>
        <v>35.219278857478692</v>
      </c>
      <c r="J52" s="213">
        <f t="shared" si="21"/>
        <v>-5216.6743350831221</v>
      </c>
      <c r="K52" s="213">
        <f t="shared" si="21"/>
        <v>45.454827521972973</v>
      </c>
      <c r="L52" s="214">
        <f t="shared" si="21"/>
        <v>0</v>
      </c>
      <c r="M52" s="215">
        <f t="shared" si="21"/>
        <v>0</v>
      </c>
      <c r="N52" s="213">
        <f t="shared" si="21"/>
        <v>45.454827521972973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10.049764933550039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1.3614643462773435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1.2678136182987809</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1.0544303767216658</v>
      </c>
      <c r="F56" s="2"/>
      <c r="G56" s="111" t="s">
        <v>190</v>
      </c>
      <c r="H56" s="111"/>
      <c r="I56" s="182">
        <v>30125.474999999999</v>
      </c>
      <c r="J56" s="182">
        <v>28442.19</v>
      </c>
      <c r="K56" s="182">
        <v>28006.962</v>
      </c>
      <c r="L56" s="252">
        <v>0</v>
      </c>
      <c r="M56" s="253">
        <v>0</v>
      </c>
      <c r="N56" s="195">
        <f>K56+M56-L56</f>
        <v>28006.962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4.8925971760761877E-3</v>
      </c>
      <c r="J57" s="255">
        <f t="shared" si="22"/>
        <v>4.511010080728059E-3</v>
      </c>
      <c r="K57" s="255">
        <f t="shared" si="22"/>
        <v>5.2641253824907185E-3</v>
      </c>
      <c r="L57" s="256" t="str">
        <f t="shared" si="22"/>
        <v>NA</v>
      </c>
      <c r="M57" s="257" t="str">
        <f t="shared" si="22"/>
        <v>NA</v>
      </c>
      <c r="N57" s="255">
        <f t="shared" si="22"/>
        <v>5.2641253824907185E-3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61642.366999999998</v>
      </c>
      <c r="J58" s="182">
        <v>29210.274000000001</v>
      </c>
      <c r="K58" s="182">
        <v>8542.6129999999994</v>
      </c>
      <c r="L58" s="186">
        <v>0</v>
      </c>
      <c r="M58" s="187">
        <v>0</v>
      </c>
      <c r="N58" s="195">
        <f>K58+M58-L58</f>
        <v>8542.6129999999994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1.0011170635843981E-2</v>
      </c>
      <c r="J59" s="255">
        <f t="shared" si="23"/>
        <v>4.6328303296908121E-3</v>
      </c>
      <c r="K59" s="255">
        <f t="shared" si="23"/>
        <v>1.6056502638913562E-3</v>
      </c>
      <c r="L59" s="258" t="str">
        <f t="shared" si="23"/>
        <v>NA</v>
      </c>
      <c r="M59" s="259" t="str">
        <f t="shared" si="23"/>
        <v>NA</v>
      </c>
      <c r="N59" s="255">
        <f t="shared" si="23"/>
        <v>1.6056502638913562E-3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-0.15617858767102999</v>
      </c>
      <c r="D61" s="203">
        <f>IF(ISERROR(K41/J41-1),0,K41/J41-1)</f>
        <v>-1.2813994908447854</v>
      </c>
      <c r="E61" s="203">
        <f>IF(ISERROR(K52/J52-1),0,K52/J52-1)</f>
        <v>-1.0087133726589526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-7.0450188531658409E-2</v>
      </c>
      <c r="D62" s="203">
        <f>IF(ISERROR((K41/I41)^(1/2)-1),0,(K41/I41)^(1/2)-1)</f>
        <v>-0.13472038299852251</v>
      </c>
      <c r="E62" s="203">
        <f>IF(ISERROR((K52/I52)^(1/2)-1),0,(K52/I52)^(1/2)-1)</f>
        <v>0.13605609876986491</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-3.0000000000000138E-2</v>
      </c>
      <c r="D64" s="203">
        <f>IF(ISERROR(D38/K41-1),0,D38/K41-1)</f>
        <v>-3.0000007810627283E-2</v>
      </c>
      <c r="E64" s="203">
        <f>IF(ISERROR(D42/K52-1),0,D42/K52-1)</f>
        <v>-3.9705959088735199E-2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-2.5012824522504196E-2</v>
      </c>
      <c r="E65" s="203">
        <f>IF(ISERROR((E42/K52)^(1/2)-1),0,(E42/K52)^(1/2)-1)</f>
        <v>-2.9903015109808972E-2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602071.799</v>
      </c>
      <c r="T8" s="180">
        <v>427830.96500000003</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2985396.517</v>
      </c>
      <c r="T9" s="182">
        <v>2188354.88</v>
      </c>
      <c r="U9" s="110"/>
      <c r="V9" s="2"/>
      <c r="W9" s="2"/>
      <c r="X9" s="2"/>
      <c r="Y9" s="2"/>
      <c r="Z9" s="2"/>
    </row>
    <row r="10" spans="1:26" ht="15" customHeight="1" x14ac:dyDescent="0.2">
      <c r="A10" s="24"/>
      <c r="B10" s="111" t="s">
        <v>118</v>
      </c>
      <c r="C10" s="111"/>
      <c r="D10" s="121"/>
      <c r="E10" s="150">
        <v>46022</v>
      </c>
      <c r="F10" s="2"/>
      <c r="G10" s="122" t="s">
        <v>34</v>
      </c>
      <c r="H10" s="122"/>
      <c r="I10" s="180">
        <v>31650660.956999999</v>
      </c>
      <c r="J10" s="180">
        <v>39271893.737999998</v>
      </c>
      <c r="K10" s="180">
        <v>36537815.078000002</v>
      </c>
      <c r="L10" s="183">
        <v>0</v>
      </c>
      <c r="M10" s="184">
        <v>0</v>
      </c>
      <c r="N10" s="185">
        <f>K10+M10-L10</f>
        <v>36537815.078000002</v>
      </c>
      <c r="O10" s="2"/>
      <c r="P10" s="111" t="s">
        <v>119</v>
      </c>
      <c r="Q10" s="123"/>
      <c r="R10" s="123"/>
      <c r="S10" s="182">
        <v>9712417.0999999996</v>
      </c>
      <c r="T10" s="182">
        <v>8203702.9390000002</v>
      </c>
      <c r="U10" s="110"/>
      <c r="V10" s="2"/>
      <c r="W10" s="2"/>
      <c r="X10" s="2"/>
      <c r="Y10" s="2"/>
      <c r="Z10" s="2"/>
    </row>
    <row r="11" spans="1:26" ht="15" customHeight="1" x14ac:dyDescent="0.2">
      <c r="A11" s="24"/>
      <c r="B11" s="111" t="s">
        <v>120</v>
      </c>
      <c r="C11" s="111"/>
      <c r="D11" s="117"/>
      <c r="E11" s="149" t="s">
        <v>121</v>
      </c>
      <c r="F11" s="2"/>
      <c r="G11" s="111" t="s">
        <v>122</v>
      </c>
      <c r="H11" s="111"/>
      <c r="I11" s="182">
        <v>28590018.866999999</v>
      </c>
      <c r="J11" s="182">
        <v>35008227.342</v>
      </c>
      <c r="K11" s="182">
        <v>32017774.23</v>
      </c>
      <c r="L11" s="186">
        <v>0</v>
      </c>
      <c r="M11" s="187">
        <v>0</v>
      </c>
      <c r="N11" s="188">
        <f>K11+M11-L11</f>
        <v>32017774.23</v>
      </c>
      <c r="O11" s="189"/>
      <c r="P11" s="111" t="s">
        <v>123</v>
      </c>
      <c r="Q11" s="190"/>
      <c r="R11" s="190"/>
      <c r="S11" s="182">
        <v>874469.10400000028</v>
      </c>
      <c r="T11" s="182">
        <v>895782.92999999877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3060642.09</v>
      </c>
      <c r="J12" s="185">
        <f t="shared" si="0"/>
        <v>4263666.3959999979</v>
      </c>
      <c r="K12" s="185">
        <f t="shared" si="0"/>
        <v>4520040.8480000012</v>
      </c>
      <c r="L12" s="191">
        <f t="shared" si="0"/>
        <v>0</v>
      </c>
      <c r="M12" s="192">
        <f t="shared" si="0"/>
        <v>0</v>
      </c>
      <c r="N12" s="185">
        <f t="shared" si="0"/>
        <v>4520040.8480000012</v>
      </c>
      <c r="O12" s="2"/>
      <c r="P12" s="124" t="s">
        <v>126</v>
      </c>
      <c r="Q12" s="120"/>
      <c r="R12" s="120"/>
      <c r="S12" s="185">
        <f>SUM(S8:S11)</f>
        <v>14174354.52</v>
      </c>
      <c r="T12" s="185">
        <f>SUM(T8:T11)</f>
        <v>11715671.713999998</v>
      </c>
      <c r="U12" s="110"/>
      <c r="V12" s="2"/>
      <c r="W12" s="2"/>
      <c r="X12" s="2"/>
      <c r="Y12" s="2"/>
      <c r="Z12" s="2"/>
    </row>
    <row r="13" spans="1:26" ht="12.75" customHeight="1" x14ac:dyDescent="0.2">
      <c r="A13" s="24"/>
      <c r="B13" s="111" t="s">
        <v>127</v>
      </c>
      <c r="C13" s="111"/>
      <c r="D13" s="193"/>
      <c r="E13" s="194">
        <v>1.1000000000000001</v>
      </c>
      <c r="F13" s="2"/>
      <c r="G13" s="111" t="s">
        <v>128</v>
      </c>
      <c r="H13" s="125"/>
      <c r="I13" s="182">
        <v>2883832.0669999998</v>
      </c>
      <c r="J13" s="182">
        <v>3840270.3539999998</v>
      </c>
      <c r="K13" s="182">
        <v>3774596.176</v>
      </c>
      <c r="L13" s="186">
        <v>0</v>
      </c>
      <c r="M13" s="187">
        <v>0</v>
      </c>
      <c r="N13" s="195">
        <f>K13+M13-L13</f>
        <v>3774596.176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-164702.03999999989</v>
      </c>
      <c r="J14" s="197">
        <v>-260829.63000000009</v>
      </c>
      <c r="K14" s="197">
        <v>-264943.59999999963</v>
      </c>
      <c r="L14" s="198">
        <v>0</v>
      </c>
      <c r="M14" s="199">
        <v>0</v>
      </c>
      <c r="N14" s="200">
        <f>K14+M14-L14</f>
        <v>-264943.59999999963</v>
      </c>
      <c r="O14" s="2"/>
      <c r="P14" s="111" t="s">
        <v>131</v>
      </c>
      <c r="Q14" s="123"/>
      <c r="R14" s="123"/>
      <c r="S14" s="182">
        <v>4110740</v>
      </c>
      <c r="T14" s="182">
        <v>4121684.8130000001</v>
      </c>
      <c r="U14" s="110"/>
      <c r="V14" s="2"/>
      <c r="W14" s="2"/>
      <c r="X14" s="2"/>
      <c r="Y14" s="2"/>
      <c r="Z14" s="2"/>
    </row>
    <row r="15" spans="1:26" ht="12.75" customHeight="1" x14ac:dyDescent="0.2">
      <c r="A15" s="24"/>
      <c r="B15" s="2"/>
      <c r="C15" s="2"/>
      <c r="D15" s="2"/>
      <c r="E15" s="2"/>
      <c r="F15" s="2"/>
      <c r="G15" s="122" t="s">
        <v>132</v>
      </c>
      <c r="H15" s="125"/>
      <c r="I15" s="185">
        <f t="shared" ref="I15:N15" si="1">I12-SUM(I13:I14)</f>
        <v>341512.06300000008</v>
      </c>
      <c r="J15" s="185">
        <f t="shared" si="1"/>
        <v>684225.67199999793</v>
      </c>
      <c r="K15" s="185">
        <f t="shared" si="1"/>
        <v>1010388.2720000008</v>
      </c>
      <c r="L15" s="191">
        <f t="shared" si="1"/>
        <v>0</v>
      </c>
      <c r="M15" s="192">
        <f t="shared" si="1"/>
        <v>0</v>
      </c>
      <c r="N15" s="185">
        <f t="shared" si="1"/>
        <v>1010388.2720000008</v>
      </c>
      <c r="O15" s="2"/>
      <c r="P15" s="111" t="s">
        <v>133</v>
      </c>
      <c r="Q15" s="120"/>
      <c r="R15" s="120"/>
      <c r="S15" s="182">
        <v>196161.56400000001</v>
      </c>
      <c r="T15" s="182">
        <v>220275.353</v>
      </c>
      <c r="U15" s="110"/>
      <c r="V15" s="2"/>
      <c r="W15" s="2"/>
      <c r="X15" s="2"/>
      <c r="Y15" s="2"/>
      <c r="Z15" s="2"/>
    </row>
    <row r="16" spans="1:26" ht="15" customHeight="1" x14ac:dyDescent="0.2">
      <c r="A16" s="24"/>
      <c r="B16" s="271" t="s">
        <v>134</v>
      </c>
      <c r="C16" s="269"/>
      <c r="D16" s="269"/>
      <c r="E16" s="269"/>
      <c r="F16" s="2"/>
      <c r="G16" s="111" t="s">
        <v>135</v>
      </c>
      <c r="H16" s="125"/>
      <c r="I16" s="182">
        <v>195489.503</v>
      </c>
      <c r="J16" s="182">
        <v>133022.41500000001</v>
      </c>
      <c r="K16" s="182">
        <v>185092.84299999999</v>
      </c>
      <c r="L16" s="186">
        <v>0</v>
      </c>
      <c r="M16" s="187">
        <v>0</v>
      </c>
      <c r="N16" s="188">
        <f>K16+M16-L16</f>
        <v>185092.84299999999</v>
      </c>
      <c r="O16" s="2"/>
      <c r="P16" s="111" t="s">
        <v>136</v>
      </c>
      <c r="Q16" s="123"/>
      <c r="R16" s="123"/>
      <c r="S16" s="182">
        <v>1084364.8509999991</v>
      </c>
      <c r="T16" s="182">
        <v>2895410.96</v>
      </c>
      <c r="U16" s="110"/>
      <c r="V16" s="2"/>
      <c r="W16" s="2"/>
      <c r="X16" s="2"/>
      <c r="Y16" s="2"/>
      <c r="Z16" s="2"/>
    </row>
    <row r="17" spans="1:26" ht="15" customHeight="1" x14ac:dyDescent="0.2">
      <c r="A17" s="24"/>
      <c r="B17" s="111" t="s">
        <v>137</v>
      </c>
      <c r="C17" s="111"/>
      <c r="D17" s="126">
        <v>0</v>
      </c>
      <c r="E17" s="201">
        <v>11850</v>
      </c>
      <c r="F17" s="2"/>
      <c r="G17" s="122" t="s">
        <v>138</v>
      </c>
      <c r="H17" s="111"/>
      <c r="I17" s="185">
        <f t="shared" ref="I17:N17" si="2">I15-SUM(I16)</f>
        <v>146022.56000000008</v>
      </c>
      <c r="J17" s="185">
        <f t="shared" si="2"/>
        <v>551203.25699999789</v>
      </c>
      <c r="K17" s="185">
        <f t="shared" si="2"/>
        <v>825295.42900000082</v>
      </c>
      <c r="L17" s="191">
        <f t="shared" si="2"/>
        <v>0</v>
      </c>
      <c r="M17" s="192">
        <f t="shared" si="2"/>
        <v>0</v>
      </c>
      <c r="N17" s="185">
        <f t="shared" si="2"/>
        <v>825295.42900000082</v>
      </c>
      <c r="O17" s="2"/>
      <c r="P17" s="124" t="s">
        <v>139</v>
      </c>
      <c r="Q17" s="120"/>
      <c r="R17" s="120"/>
      <c r="S17" s="202">
        <f>SUM(S12:S16)</f>
        <v>19565620.934999999</v>
      </c>
      <c r="T17" s="202">
        <f>SUM(T12:T16)</f>
        <v>18953042.84</v>
      </c>
      <c r="U17" s="110"/>
      <c r="V17" s="2"/>
      <c r="W17" s="2"/>
      <c r="X17" s="2"/>
      <c r="Y17" s="2"/>
      <c r="Z17" s="2"/>
    </row>
    <row r="18" spans="1:26" ht="12.75" customHeight="1" x14ac:dyDescent="0.2">
      <c r="A18" s="127"/>
      <c r="B18" s="128" t="s">
        <v>140</v>
      </c>
      <c r="C18" s="128"/>
      <c r="D18" s="129"/>
      <c r="E18" s="203">
        <f>+IF(ISERROR(E17/E19),"NA",E17/E19)</f>
        <v>0.72668179309498993</v>
      </c>
      <c r="F18" s="2"/>
      <c r="G18" s="111" t="s">
        <v>141</v>
      </c>
      <c r="H18" s="111"/>
      <c r="I18" s="182">
        <v>115960.216</v>
      </c>
      <c r="J18" s="182">
        <v>36529.281000000003</v>
      </c>
      <c r="K18" s="182">
        <v>90283.356</v>
      </c>
      <c r="L18" s="186">
        <v>0</v>
      </c>
      <c r="M18" s="187">
        <v>0</v>
      </c>
      <c r="N18" s="195">
        <f>K18+M18-L18</f>
        <v>90283.356</v>
      </c>
      <c r="O18" s="2"/>
      <c r="P18" s="111"/>
      <c r="Q18" s="111"/>
      <c r="R18" s="111"/>
      <c r="S18" s="111"/>
      <c r="T18" s="111"/>
      <c r="U18" s="110"/>
      <c r="V18" s="2"/>
      <c r="W18" s="2"/>
      <c r="X18" s="2"/>
      <c r="Y18" s="2"/>
      <c r="Z18" s="2"/>
    </row>
    <row r="19" spans="1:26" ht="15" customHeight="1" x14ac:dyDescent="0.2">
      <c r="A19" s="24"/>
      <c r="B19" s="111" t="s">
        <v>142</v>
      </c>
      <c r="C19" s="111"/>
      <c r="D19" s="204">
        <v>0</v>
      </c>
      <c r="E19" s="205">
        <v>16307</v>
      </c>
      <c r="F19" s="2"/>
      <c r="G19" s="111" t="s">
        <v>143</v>
      </c>
      <c r="H19" s="111"/>
      <c r="I19" s="197">
        <v>54.107999999999997</v>
      </c>
      <c r="J19" s="197">
        <v>39.167999999999999</v>
      </c>
      <c r="K19" s="197">
        <v>-6.702</v>
      </c>
      <c r="L19" s="198">
        <v>0</v>
      </c>
      <c r="M19" s="199">
        <v>0</v>
      </c>
      <c r="N19" s="206">
        <f>K19+M19-L19</f>
        <v>-6.702</v>
      </c>
      <c r="O19" s="2"/>
      <c r="P19" s="111" t="s">
        <v>144</v>
      </c>
      <c r="Q19" s="123"/>
      <c r="R19" s="123"/>
      <c r="S19" s="182">
        <v>2328013.4449999998</v>
      </c>
      <c r="T19" s="182">
        <v>2049570.3810000001</v>
      </c>
      <c r="U19" s="110"/>
      <c r="V19" s="2"/>
      <c r="W19" s="2"/>
      <c r="X19" s="2"/>
      <c r="Y19" s="2"/>
      <c r="Z19" s="2"/>
    </row>
    <row r="20" spans="1:26" ht="15" customHeight="1" x14ac:dyDescent="0.2">
      <c r="A20" s="24"/>
      <c r="B20" s="111" t="s">
        <v>145</v>
      </c>
      <c r="C20" s="111"/>
      <c r="D20" s="204">
        <v>0</v>
      </c>
      <c r="E20" s="205">
        <v>10500</v>
      </c>
      <c r="F20" s="2"/>
      <c r="G20" s="111" t="s">
        <v>146</v>
      </c>
      <c r="H20" s="111"/>
      <c r="I20" s="197">
        <v>0</v>
      </c>
      <c r="J20" s="197">
        <v>0</v>
      </c>
      <c r="K20" s="197">
        <v>0</v>
      </c>
      <c r="L20" s="198">
        <v>0</v>
      </c>
      <c r="M20" s="199">
        <v>0</v>
      </c>
      <c r="N20" s="200">
        <f>K20+M20-L20</f>
        <v>0</v>
      </c>
      <c r="O20" s="2"/>
      <c r="P20" s="111" t="s">
        <v>147</v>
      </c>
      <c r="Q20" s="190"/>
      <c r="R20" s="190"/>
      <c r="S20" s="182">
        <v>200877.91099999999</v>
      </c>
      <c r="T20" s="182">
        <v>222585.755</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30008.236000000092</v>
      </c>
      <c r="J21" s="202">
        <f t="shared" si="3"/>
        <v>514634.80799999787</v>
      </c>
      <c r="K21" s="202">
        <f t="shared" si="3"/>
        <v>735018.77500000084</v>
      </c>
      <c r="L21" s="207">
        <f t="shared" si="3"/>
        <v>0</v>
      </c>
      <c r="M21" s="208">
        <f t="shared" si="3"/>
        <v>0</v>
      </c>
      <c r="N21" s="202">
        <f t="shared" si="3"/>
        <v>735018.77500000084</v>
      </c>
      <c r="O21" s="2"/>
      <c r="P21" s="111" t="s">
        <v>150</v>
      </c>
      <c r="Q21" s="120"/>
      <c r="R21" s="120"/>
      <c r="S21" s="182">
        <v>6103522.6109999996</v>
      </c>
      <c r="T21" s="182">
        <v>5326110.0999999996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0.79412534611090191</v>
      </c>
      <c r="J22" s="203">
        <f t="shared" si="4"/>
        <v>6.627188888326932E-2</v>
      </c>
      <c r="K22" s="203">
        <f t="shared" si="4"/>
        <v>0.1093951969531627</v>
      </c>
      <c r="L22" s="209" t="str">
        <f t="shared" si="4"/>
        <v>NA</v>
      </c>
      <c r="M22" s="210" t="str">
        <f t="shared" si="4"/>
        <v>NA</v>
      </c>
      <c r="N22" s="203">
        <f t="shared" si="4"/>
        <v>0.1093951969531627</v>
      </c>
      <c r="O22" s="2"/>
      <c r="P22" s="124" t="s">
        <v>152</v>
      </c>
      <c r="Q22" s="123"/>
      <c r="R22" s="123"/>
      <c r="S22" s="185">
        <f>SUM(S19:S21)</f>
        <v>8632413.9670000002</v>
      </c>
      <c r="T22" s="185">
        <f>SUM(T19:T21)</f>
        <v>7598266.2359999996</v>
      </c>
      <c r="U22" s="110"/>
      <c r="V22" s="2"/>
      <c r="W22" s="2"/>
      <c r="X22" s="2"/>
      <c r="Y22" s="2"/>
      <c r="Z22" s="2"/>
    </row>
    <row r="23" spans="1:26" ht="15" customHeight="1" x14ac:dyDescent="0.2">
      <c r="A23" s="24"/>
      <c r="B23" s="111" t="s">
        <v>153</v>
      </c>
      <c r="C23" s="111"/>
      <c r="D23" s="111"/>
      <c r="E23" s="211">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9566063.0424000006</v>
      </c>
      <c r="F24" s="2"/>
      <c r="G24" s="111" t="s">
        <v>155</v>
      </c>
      <c r="H24" s="111"/>
      <c r="I24" s="182">
        <v>807.26270399999999</v>
      </c>
      <c r="J24" s="182">
        <v>807.26270399999999</v>
      </c>
      <c r="K24" s="182">
        <v>807.26270399999999</v>
      </c>
      <c r="L24" s="186">
        <v>0</v>
      </c>
      <c r="M24" s="187">
        <v>0</v>
      </c>
      <c r="N24" s="195">
        <f>+IF(ISERROR(K24+M24-L24),"NA",K24+M24-L24)</f>
        <v>807.26270399999999</v>
      </c>
      <c r="O24" s="2"/>
      <c r="P24" s="133" t="s">
        <v>156</v>
      </c>
      <c r="Q24" s="120"/>
      <c r="R24" s="120"/>
      <c r="S24" s="182">
        <v>5364084.4529999997</v>
      </c>
      <c r="T24" s="182">
        <v>4403865.7220000001</v>
      </c>
      <c r="U24" s="110"/>
      <c r="V24" s="2"/>
      <c r="W24" s="2"/>
      <c r="X24" s="2"/>
      <c r="Y24" s="2"/>
      <c r="Z24" s="2"/>
    </row>
    <row r="25" spans="1:26" ht="15" customHeight="1" x14ac:dyDescent="0.2">
      <c r="A25" s="24"/>
      <c r="B25" s="111"/>
      <c r="C25" s="111"/>
      <c r="D25" s="111"/>
      <c r="E25" s="111"/>
      <c r="F25" s="2"/>
      <c r="G25" s="111" t="s">
        <v>157</v>
      </c>
      <c r="H25" s="111"/>
      <c r="I25" s="213">
        <f>IF(ISERROR(I21/I24),"NA",I21/I24)</f>
        <v>37.172825960259019</v>
      </c>
      <c r="J25" s="213">
        <f>+IF(ISERROR(J21/J24),"NA",J21/J24)</f>
        <v>637.50598838516123</v>
      </c>
      <c r="K25" s="213">
        <f>+IF(ISERROR(K21/K24),"NA",K21/K24)</f>
        <v>910.5075353512193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4403865.7220000001</v>
      </c>
      <c r="F26" s="2"/>
      <c r="G26" s="2"/>
      <c r="H26" s="2"/>
      <c r="I26" s="2"/>
      <c r="J26" s="2"/>
      <c r="K26" s="2"/>
      <c r="L26" s="2"/>
      <c r="M26" s="2"/>
      <c r="N26" s="2"/>
      <c r="O26" s="2"/>
      <c r="P26" s="124" t="s">
        <v>160</v>
      </c>
      <c r="Q26" s="111"/>
      <c r="R26" s="111"/>
      <c r="S26" s="185">
        <f>S22+SUM(S24:S25)</f>
        <v>13996498.42</v>
      </c>
      <c r="T26" s="185">
        <f>T22+SUM(T24:T25)</f>
        <v>12002131.958000001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-6.702</v>
      </c>
      <c r="F28" s="2"/>
      <c r="G28" s="271" t="s">
        <v>163</v>
      </c>
      <c r="H28" s="269"/>
      <c r="I28" s="269"/>
      <c r="J28" s="269"/>
      <c r="K28" s="269"/>
      <c r="L28" s="269"/>
      <c r="M28" s="269"/>
      <c r="N28" s="269"/>
      <c r="O28" s="2"/>
      <c r="P28" s="111" t="s">
        <v>143</v>
      </c>
      <c r="Q28" s="136"/>
      <c r="R28" s="136"/>
      <c r="S28" s="182">
        <v>39.167999999999999</v>
      </c>
      <c r="T28" s="182">
        <v>-6.702</v>
      </c>
      <c r="U28" s="110"/>
      <c r="V28" s="2"/>
      <c r="W28" s="2"/>
      <c r="X28" s="2"/>
      <c r="Y28" s="2"/>
      <c r="Z28" s="2"/>
    </row>
    <row r="29" spans="1:26" ht="15" customHeight="1" x14ac:dyDescent="0.2">
      <c r="A29" s="24"/>
      <c r="B29" s="111" t="s">
        <v>164</v>
      </c>
      <c r="C29" s="111"/>
      <c r="D29" s="111"/>
      <c r="E29" s="217">
        <f>-T8</f>
        <v>-427830.96500000003</v>
      </c>
      <c r="F29" s="2"/>
      <c r="G29" s="111" t="s">
        <v>165</v>
      </c>
      <c r="H29" s="111"/>
      <c r="I29" s="218">
        <f t="shared" ref="I29:N29" si="5">I12</f>
        <v>3060642.09</v>
      </c>
      <c r="J29" s="218">
        <f t="shared" si="5"/>
        <v>4263666.3959999979</v>
      </c>
      <c r="K29" s="218">
        <f t="shared" si="5"/>
        <v>4520040.8480000012</v>
      </c>
      <c r="L29" s="219">
        <f t="shared" si="5"/>
        <v>0</v>
      </c>
      <c r="M29" s="220">
        <f t="shared" si="5"/>
        <v>0</v>
      </c>
      <c r="N29" s="218">
        <f t="shared" si="5"/>
        <v>4520040.8480000012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13542091.097400002</v>
      </c>
      <c r="F30" s="221"/>
      <c r="G30" s="111" t="s">
        <v>168</v>
      </c>
      <c r="H30" s="111"/>
      <c r="I30" s="223">
        <v>0</v>
      </c>
      <c r="J30" s="223">
        <v>0</v>
      </c>
      <c r="K30" s="223">
        <v>0</v>
      </c>
      <c r="L30" s="186">
        <v>0</v>
      </c>
      <c r="M30" s="187">
        <v>0</v>
      </c>
      <c r="N30" s="188">
        <f>K30+M30-L30</f>
        <v>0</v>
      </c>
      <c r="O30" s="2"/>
      <c r="P30" s="133" t="s">
        <v>169</v>
      </c>
      <c r="Q30" s="224"/>
      <c r="R30" s="224"/>
      <c r="S30" s="182">
        <v>10916937.056</v>
      </c>
      <c r="T30" s="182">
        <v>11338627.789000001</v>
      </c>
      <c r="U30" s="2"/>
      <c r="V30" s="2"/>
      <c r="W30" s="2"/>
      <c r="X30" s="2"/>
      <c r="Y30" s="2"/>
      <c r="Z30" s="2"/>
    </row>
    <row r="31" spans="1:26" ht="15" customHeight="1" x14ac:dyDescent="0.2">
      <c r="A31" s="24"/>
      <c r="B31" s="2"/>
      <c r="C31" s="2"/>
      <c r="D31" s="2"/>
      <c r="E31" s="2"/>
      <c r="F31" s="221"/>
      <c r="G31" s="122" t="s">
        <v>170</v>
      </c>
      <c r="H31" s="111"/>
      <c r="I31" s="185">
        <f t="shared" ref="I31:N31" si="6">SUM(I29:I30)</f>
        <v>3060642.09</v>
      </c>
      <c r="J31" s="185">
        <f t="shared" si="6"/>
        <v>4263666.3959999979</v>
      </c>
      <c r="K31" s="185">
        <f t="shared" si="6"/>
        <v>4520040.8480000012</v>
      </c>
      <c r="L31" s="191">
        <f t="shared" si="6"/>
        <v>0</v>
      </c>
      <c r="M31" s="192">
        <f t="shared" si="6"/>
        <v>0</v>
      </c>
      <c r="N31" s="185">
        <f t="shared" si="6"/>
        <v>4520040.8480000012</v>
      </c>
      <c r="O31" s="2"/>
      <c r="P31" s="124" t="s">
        <v>171</v>
      </c>
      <c r="Q31" s="224"/>
      <c r="R31" s="224"/>
      <c r="S31" s="202">
        <f>S26+SUM(S28:S30)</f>
        <v>24913474.644000001</v>
      </c>
      <c r="T31" s="202">
        <f>T26+SUM(T28:T30)</f>
        <v>23340753.045000002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9.6700732226670763E-2</v>
      </c>
      <c r="J32" s="203">
        <f t="shared" si="7"/>
        <v>0.10856788380119338</v>
      </c>
      <c r="K32" s="203">
        <f t="shared" si="7"/>
        <v>0.12370856982966093</v>
      </c>
      <c r="L32" s="209" t="str">
        <f t="shared" si="7"/>
        <v>NA</v>
      </c>
      <c r="M32" s="210" t="str">
        <f t="shared" si="7"/>
        <v>NA</v>
      </c>
      <c r="N32" s="203">
        <f t="shared" si="7"/>
        <v>0.12370856982966093</v>
      </c>
      <c r="O32" s="2"/>
      <c r="P32" s="128" t="s">
        <v>174</v>
      </c>
      <c r="Q32" s="137"/>
      <c r="R32" s="137"/>
      <c r="S32" s="225">
        <f>S17-S31</f>
        <v>-5347853.7090000026</v>
      </c>
      <c r="T32" s="225">
        <f>T17-T31</f>
        <v>-4387710.2050000019</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341512.06300000008</v>
      </c>
      <c r="J34" s="218">
        <f t="shared" si="8"/>
        <v>684225.67199999793</v>
      </c>
      <c r="K34" s="218">
        <f t="shared" si="8"/>
        <v>1010388.2720000008</v>
      </c>
      <c r="L34" s="227">
        <f t="shared" si="8"/>
        <v>0</v>
      </c>
      <c r="M34" s="228">
        <f t="shared" si="8"/>
        <v>0</v>
      </c>
      <c r="N34" s="218">
        <f t="shared" si="8"/>
        <v>1010388.2720000008</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0.3706322085349299</v>
      </c>
      <c r="D35" s="229">
        <f>IF(ISERROR($E$30/D36),"NA",$E$30/D36)</f>
        <v>0.37241799100826256</v>
      </c>
      <c r="E35" s="229">
        <f>IF(ISERROR($E$30/E36),"NA",$E$30/E36)</f>
        <v>0.37388811313325115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807.26270399999999</v>
      </c>
      <c r="U35" s="110"/>
      <c r="V35" s="2"/>
      <c r="W35" s="2"/>
      <c r="X35" s="2"/>
      <c r="Y35" s="2"/>
      <c r="Z35" s="2"/>
    </row>
    <row r="36" spans="1:26" ht="15" customHeight="1" x14ac:dyDescent="0.2">
      <c r="A36" s="24"/>
      <c r="B36" s="111" t="s">
        <v>181</v>
      </c>
      <c r="C36" s="218">
        <f>N10</f>
        <v>36537815.078000002</v>
      </c>
      <c r="D36" s="180">
        <v>36362612.506278068</v>
      </c>
      <c r="E36" s="180">
        <v>36219635.291196577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7.0773205148141454</v>
      </c>
      <c r="D37" s="229">
        <f>IF(ISERROR($E$30/D38),"NA",$E$30/D38)</f>
        <v>7.1114205019847203</v>
      </c>
      <c r="E37" s="229">
        <f>IF(ISERROR($E$30/E38),"NA",$E$30/E38)</f>
        <v>7.1394928746210713</v>
      </c>
      <c r="F37" s="2"/>
      <c r="G37" s="122" t="s">
        <v>185</v>
      </c>
      <c r="H37" s="111"/>
      <c r="I37" s="185">
        <f t="shared" ref="I37:N37" si="10">SUM(I34:I36)</f>
        <v>341512.06300000008</v>
      </c>
      <c r="J37" s="185">
        <f t="shared" si="10"/>
        <v>684225.67199999793</v>
      </c>
      <c r="K37" s="185">
        <f t="shared" si="10"/>
        <v>1010388.2720000008</v>
      </c>
      <c r="L37" s="191">
        <f t="shared" si="10"/>
        <v>0</v>
      </c>
      <c r="M37" s="192">
        <f t="shared" si="10"/>
        <v>0</v>
      </c>
      <c r="N37" s="185">
        <f t="shared" si="10"/>
        <v>1010388.2720000008</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1913448.8920000009</v>
      </c>
      <c r="D38" s="180">
        <v>1904273.7092568991</v>
      </c>
      <c r="E38" s="180">
        <v>1896786.135264369</v>
      </c>
      <c r="F38" s="2"/>
      <c r="G38" s="128" t="s">
        <v>173</v>
      </c>
      <c r="H38" s="128"/>
      <c r="I38" s="203">
        <f t="shared" ref="I38:N38" si="11">IF(ISERROR(I37/I10),"NA",I37/I10)</f>
        <v>1.0790045220982021E-2</v>
      </c>
      <c r="J38" s="203">
        <f t="shared" si="11"/>
        <v>1.7422782730182735E-2</v>
      </c>
      <c r="K38" s="203">
        <f t="shared" si="11"/>
        <v>2.765322091217139E-2</v>
      </c>
      <c r="L38" s="209" t="str">
        <f t="shared" si="11"/>
        <v>NA</v>
      </c>
      <c r="M38" s="210" t="str">
        <f t="shared" si="11"/>
        <v>NA</v>
      </c>
      <c r="N38" s="203">
        <f t="shared" si="11"/>
        <v>2.765322091217139E-2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13.402858557130987</v>
      </c>
      <c r="D39" s="229">
        <f>IF(ISERROR($E$30/D40),"NA",$E$30/D40)</f>
        <v>13.46743628246778</v>
      </c>
      <c r="E39" s="229">
        <f>IF(ISERROR($E$30/E40),"NA",$E$30/E40)</f>
        <v>13.520599063331643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1010388.2720000008</v>
      </c>
      <c r="D40" s="180">
        <v>1005543.3575749981</v>
      </c>
      <c r="E40" s="180">
        <v>1001589.577057029</v>
      </c>
      <c r="F40" s="237"/>
      <c r="G40" s="111" t="s">
        <v>190</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191</v>
      </c>
      <c r="Q40" s="111"/>
      <c r="R40" s="111"/>
      <c r="S40" s="111"/>
      <c r="T40" s="238">
        <f>T35+SUM(T38:T39)</f>
        <v>807.26270399999999</v>
      </c>
      <c r="U40" s="110"/>
      <c r="V40" s="2"/>
      <c r="W40" s="2"/>
      <c r="X40" s="2"/>
      <c r="Y40" s="2"/>
      <c r="Z40" s="2"/>
    </row>
    <row r="41" spans="1:26" ht="12.75" customHeight="1" x14ac:dyDescent="0.2">
      <c r="A41" s="24"/>
      <c r="B41" s="111" t="s">
        <v>192</v>
      </c>
      <c r="C41" s="229">
        <f>IF(ISERROR($E$17/N52),"NA",E17/N52)</f>
        <v>13.014719307544203</v>
      </c>
      <c r="D41" s="229">
        <f>IF(ISERROR($E$17/D42),"NA",$E$17/D42)</f>
        <v>10.472379723528688</v>
      </c>
      <c r="E41" s="229">
        <f>IF(ISERROR($E$17/E42),"NA",$E$17/E42)</f>
        <v>10.513719501693426</v>
      </c>
      <c r="F41" s="2"/>
      <c r="G41" s="122" t="s">
        <v>193</v>
      </c>
      <c r="H41" s="111"/>
      <c r="I41" s="185">
        <f t="shared" ref="I41:N41" si="13">I40+I37</f>
        <v>1472213.014</v>
      </c>
      <c r="J41" s="185">
        <f t="shared" si="13"/>
        <v>1673978.5309999981</v>
      </c>
      <c r="K41" s="185">
        <f t="shared" si="13"/>
        <v>1913448.8920000009</v>
      </c>
      <c r="L41" s="191">
        <f t="shared" si="13"/>
        <v>0</v>
      </c>
      <c r="M41" s="192">
        <f t="shared" si="13"/>
        <v>0</v>
      </c>
      <c r="N41" s="185">
        <f t="shared" si="13"/>
        <v>1913448.8920000009</v>
      </c>
      <c r="O41" s="2"/>
      <c r="P41" s="111"/>
      <c r="Q41" s="111"/>
      <c r="R41" s="111"/>
      <c r="S41" s="111"/>
      <c r="T41" s="111"/>
      <c r="U41" s="110"/>
      <c r="V41" s="2"/>
      <c r="W41" s="2"/>
      <c r="X41" s="2"/>
      <c r="Y41" s="2"/>
      <c r="Z41" s="2"/>
    </row>
    <row r="42" spans="1:26" ht="15" customHeight="1" x14ac:dyDescent="0.2">
      <c r="A42" s="24"/>
      <c r="B42" s="111" t="s">
        <v>181</v>
      </c>
      <c r="C42" s="213">
        <f>N52</f>
        <v>910.5075353512193</v>
      </c>
      <c r="D42" s="201">
        <v>1131.5479683549061</v>
      </c>
      <c r="E42" s="201">
        <v>1127.098739707802</v>
      </c>
      <c r="F42" s="2"/>
      <c r="G42" s="128" t="s">
        <v>173</v>
      </c>
      <c r="H42" s="128"/>
      <c r="I42" s="203">
        <f t="shared" ref="I42:N42" si="14">IF(ISERROR(I41/I10),"NA",I41/I10)</f>
        <v>4.6514447707746806E-2</v>
      </c>
      <c r="J42" s="203">
        <f t="shared" si="14"/>
        <v>4.2625358027495237E-2</v>
      </c>
      <c r="K42" s="203">
        <f t="shared" si="14"/>
        <v>5.2369001482853277E-2</v>
      </c>
      <c r="L42" s="209" t="str">
        <f t="shared" si="14"/>
        <v>NA</v>
      </c>
      <c r="M42" s="210" t="str">
        <f t="shared" si="14"/>
        <v>NA</v>
      </c>
      <c r="N42" s="203">
        <f t="shared" si="14"/>
        <v>5.2369001482853277E-2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30008.236000000092</v>
      </c>
      <c r="J44" s="218">
        <f t="shared" si="15"/>
        <v>514634.80799999787</v>
      </c>
      <c r="K44" s="218">
        <f t="shared" si="15"/>
        <v>735018.77500000084</v>
      </c>
      <c r="L44" s="227">
        <f t="shared" si="15"/>
        <v>0</v>
      </c>
      <c r="M44" s="228">
        <f t="shared" si="15"/>
        <v>0</v>
      </c>
      <c r="N44" s="218">
        <f t="shared" si="15"/>
        <v>735018.77500000084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6.5199774950685296E-2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6.6052583263473755E-2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3.8164292473564697E-2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0.16877637130801687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30008.236000000092</v>
      </c>
      <c r="J49" s="202">
        <f t="shared" si="19"/>
        <v>514634.80799999787</v>
      </c>
      <c r="K49" s="202">
        <f t="shared" si="19"/>
        <v>735018.77500000084</v>
      </c>
      <c r="L49" s="207">
        <f t="shared" si="19"/>
        <v>0</v>
      </c>
      <c r="M49" s="208">
        <f t="shared" si="19"/>
        <v>0</v>
      </c>
      <c r="N49" s="202">
        <f t="shared" si="19"/>
        <v>735018.77500000084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9.4810772011266135E-4</v>
      </c>
      <c r="J50" s="203">
        <f t="shared" si="20"/>
        <v>1.3104405186909297E-2</v>
      </c>
      <c r="K50" s="203">
        <f t="shared" si="20"/>
        <v>2.0116659231836972E-2</v>
      </c>
      <c r="L50" s="209" t="str">
        <f t="shared" si="20"/>
        <v>NA</v>
      </c>
      <c r="M50" s="210" t="str">
        <f t="shared" si="20"/>
        <v>NA</v>
      </c>
      <c r="N50" s="203">
        <f t="shared" si="20"/>
        <v>2.0116659231836972E-2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2.3015329755669263</v>
      </c>
      <c r="F52" s="2"/>
      <c r="G52" s="111" t="s">
        <v>219</v>
      </c>
      <c r="H52" s="111"/>
      <c r="I52" s="213">
        <f t="shared" ref="I52:N52" si="21">IF(ISERROR(I49/I24),0,I49/I24)</f>
        <v>37.172825960259019</v>
      </c>
      <c r="J52" s="213">
        <f t="shared" si="21"/>
        <v>637.50598838516123</v>
      </c>
      <c r="K52" s="213">
        <f t="shared" si="21"/>
        <v>910.5075353512193</v>
      </c>
      <c r="L52" s="214">
        <f t="shared" si="21"/>
        <v>0</v>
      </c>
      <c r="M52" s="215">
        <f t="shared" si="21"/>
        <v>0</v>
      </c>
      <c r="N52" s="213">
        <f t="shared" si="21"/>
        <v>910.5075353512193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2.0779414457441376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10.3377789275191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-3.8321648071503187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5.4588186967337293</v>
      </c>
      <c r="F56" s="2"/>
      <c r="G56" s="111" t="s">
        <v>190</v>
      </c>
      <c r="H56" s="111"/>
      <c r="I56" s="182">
        <v>1130700.9509999999</v>
      </c>
      <c r="J56" s="182">
        <v>989752.85900000005</v>
      </c>
      <c r="K56" s="182">
        <v>903060.62</v>
      </c>
      <c r="L56" s="252">
        <v>0</v>
      </c>
      <c r="M56" s="253">
        <v>0</v>
      </c>
      <c r="N56" s="195">
        <f>K56+M56-L56</f>
        <v>903060.62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3.5724402486764784E-2</v>
      </c>
      <c r="J57" s="255">
        <f t="shared" si="22"/>
        <v>2.5202575297312495E-2</v>
      </c>
      <c r="K57" s="255">
        <f t="shared" si="22"/>
        <v>2.4715780570681883E-2</v>
      </c>
      <c r="L57" s="256" t="str">
        <f t="shared" si="22"/>
        <v>NA</v>
      </c>
      <c r="M57" s="257" t="str">
        <f t="shared" si="22"/>
        <v>NA</v>
      </c>
      <c r="N57" s="255">
        <f t="shared" si="22"/>
        <v>2.4715780570681883E-2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373766.50599999999</v>
      </c>
      <c r="J58" s="182">
        <v>770512.87800000003</v>
      </c>
      <c r="K58" s="182">
        <v>2622755.1710000001</v>
      </c>
      <c r="L58" s="186">
        <v>0</v>
      </c>
      <c r="M58" s="187">
        <v>0</v>
      </c>
      <c r="N58" s="195">
        <f>K58+M58-L58</f>
        <v>2622755.1710000001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1.1809121664403541E-2</v>
      </c>
      <c r="J59" s="255">
        <f t="shared" si="23"/>
        <v>1.9619957294151103E-2</v>
      </c>
      <c r="K59" s="255">
        <f t="shared" si="23"/>
        <v>7.1781937847159416E-2</v>
      </c>
      <c r="L59" s="258" t="str">
        <f t="shared" si="23"/>
        <v>NA</v>
      </c>
      <c r="M59" s="259" t="str">
        <f t="shared" si="23"/>
        <v>NA</v>
      </c>
      <c r="N59" s="255">
        <f t="shared" si="23"/>
        <v>7.1781937847159416E-2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-6.9619221274131338E-2</v>
      </c>
      <c r="D61" s="203">
        <f>IF(ISERROR(K41/J41-1),0,K41/J41-1)</f>
        <v>0.14305461902008298</v>
      </c>
      <c r="E61" s="203">
        <f>IF(ISERROR(K52/J52-1),0,K52/J52-1)</f>
        <v>0.42823369809840761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7.4434375801200936E-2</v>
      </c>
      <c r="D62" s="203">
        <f>IF(ISERROR((K41/I41)^(1/2)-1),0,(K41/I41)^(1/2)-1)</f>
        <v>0.14004792153847156</v>
      </c>
      <c r="E62" s="203">
        <f>IF(ISERROR((K52/I52)^(1/2)-1),0,(K52/I52)^(1/2)-1)</f>
        <v>3.9491313824674705</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-4.7951025902319699E-3</v>
      </c>
      <c r="D64" s="203">
        <f>IF(ISERROR(D38/K41-1),0,D38/K41-1)</f>
        <v>-4.7951020701220148E-3</v>
      </c>
      <c r="E64" s="203">
        <f>IF(ISERROR(D42/K52-1),0,D42/K52-1)</f>
        <v>0.24276617646928389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-4.3636368869226505E-3</v>
      </c>
      <c r="D65" s="203">
        <f>IF(ISERROR((E38/K41)^(1/2)-1),0,(E38/K41)^(1/2)-1)</f>
        <v>-4.3636366267549853E-3</v>
      </c>
      <c r="E65" s="203">
        <f>IF(ISERROR((E42/K52)^(1/2)-1),0,(E42/K52)^(1/2)-1)</f>
        <v>0.11260039528735355</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391783.761</v>
      </c>
      <c r="T8" s="180">
        <v>838864.11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1942938.034</v>
      </c>
      <c r="T9" s="182">
        <v>1423363.7120000001</v>
      </c>
      <c r="U9" s="110"/>
      <c r="V9" s="2"/>
      <c r="W9" s="2"/>
      <c r="X9" s="2"/>
      <c r="Y9" s="2"/>
      <c r="Z9" s="2"/>
    </row>
    <row r="10" spans="1:26" ht="15" customHeight="1" x14ac:dyDescent="0.2">
      <c r="A10" s="24"/>
      <c r="B10" s="111" t="s">
        <v>118</v>
      </c>
      <c r="C10" s="111"/>
      <c r="D10" s="121"/>
      <c r="E10" s="150">
        <v>46022</v>
      </c>
      <c r="F10" s="2"/>
      <c r="G10" s="122" t="s">
        <v>34</v>
      </c>
      <c r="H10" s="122"/>
      <c r="I10" s="180">
        <v>18595974.252999999</v>
      </c>
      <c r="J10" s="180">
        <v>20609022.190000001</v>
      </c>
      <c r="K10" s="180">
        <v>14808145.017000001</v>
      </c>
      <c r="L10" s="183">
        <v>0</v>
      </c>
      <c r="M10" s="184">
        <v>0</v>
      </c>
      <c r="N10" s="185">
        <f>K10+M10-L10</f>
        <v>14808145.017000001</v>
      </c>
      <c r="O10" s="2"/>
      <c r="P10" s="111" t="s">
        <v>119</v>
      </c>
      <c r="Q10" s="123"/>
      <c r="R10" s="123"/>
      <c r="S10" s="182">
        <v>6690482.9349999996</v>
      </c>
      <c r="T10" s="182">
        <v>5303103.3969999999</v>
      </c>
      <c r="U10" s="110"/>
      <c r="V10" s="2"/>
      <c r="W10" s="2"/>
      <c r="X10" s="2"/>
      <c r="Y10" s="2"/>
      <c r="Z10" s="2"/>
    </row>
    <row r="11" spans="1:26" ht="15" customHeight="1" x14ac:dyDescent="0.2">
      <c r="A11" s="24"/>
      <c r="B11" s="111" t="s">
        <v>120</v>
      </c>
      <c r="C11" s="111"/>
      <c r="D11" s="117"/>
      <c r="E11" s="149" t="s">
        <v>121</v>
      </c>
      <c r="F11" s="2"/>
      <c r="G11" s="111" t="s">
        <v>122</v>
      </c>
      <c r="H11" s="111"/>
      <c r="I11" s="182">
        <v>17483711.237</v>
      </c>
      <c r="J11" s="182">
        <v>18777248.234999999</v>
      </c>
      <c r="K11" s="182">
        <v>14022971.43</v>
      </c>
      <c r="L11" s="186">
        <v>0</v>
      </c>
      <c r="M11" s="187">
        <v>0</v>
      </c>
      <c r="N11" s="188">
        <f>K11+M11-L11</f>
        <v>14022971.43</v>
      </c>
      <c r="O11" s="189"/>
      <c r="P11" s="111" t="s">
        <v>123</v>
      </c>
      <c r="Q11" s="190"/>
      <c r="R11" s="190"/>
      <c r="S11" s="182">
        <v>1177165.7710000011</v>
      </c>
      <c r="T11" s="182">
        <v>2137469.0670000012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1112263.0159999989</v>
      </c>
      <c r="J12" s="185">
        <f t="shared" si="0"/>
        <v>1831773.9550000019</v>
      </c>
      <c r="K12" s="185">
        <f t="shared" si="0"/>
        <v>785173.58700000122</v>
      </c>
      <c r="L12" s="191">
        <f t="shared" si="0"/>
        <v>0</v>
      </c>
      <c r="M12" s="192">
        <f t="shared" si="0"/>
        <v>0</v>
      </c>
      <c r="N12" s="185">
        <f t="shared" si="0"/>
        <v>785173.58700000122</v>
      </c>
      <c r="O12" s="2"/>
      <c r="P12" s="124" t="s">
        <v>126</v>
      </c>
      <c r="Q12" s="120"/>
      <c r="R12" s="120"/>
      <c r="S12" s="185">
        <f>SUM(S8:S11)</f>
        <v>10202370.501000002</v>
      </c>
      <c r="T12" s="185">
        <f>SUM(T8:T11)</f>
        <v>9702800.2860000022</v>
      </c>
      <c r="U12" s="110"/>
      <c r="V12" s="2"/>
      <c r="W12" s="2"/>
      <c r="X12" s="2"/>
      <c r="Y12" s="2"/>
      <c r="Z12" s="2"/>
    </row>
    <row r="13" spans="1:26" ht="12.75" customHeight="1" x14ac:dyDescent="0.2">
      <c r="A13" s="24"/>
      <c r="B13" s="111" t="s">
        <v>127</v>
      </c>
      <c r="C13" s="111"/>
      <c r="D13" s="193"/>
      <c r="E13" s="194">
        <v>1.1000000000000001</v>
      </c>
      <c r="F13" s="2"/>
      <c r="G13" s="111" t="s">
        <v>128</v>
      </c>
      <c r="H13" s="125"/>
      <c r="I13" s="182">
        <v>739414.14899999998</v>
      </c>
      <c r="J13" s="182">
        <v>1137840.115</v>
      </c>
      <c r="K13" s="182">
        <v>554823.96</v>
      </c>
      <c r="L13" s="186">
        <v>0</v>
      </c>
      <c r="M13" s="187">
        <v>0</v>
      </c>
      <c r="N13" s="195">
        <f>K13+M13-L13</f>
        <v>554823.96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-97141.880999999878</v>
      </c>
      <c r="J14" s="197">
        <v>-72077.404999999912</v>
      </c>
      <c r="K14" s="197">
        <v>-230135.21199999991</v>
      </c>
      <c r="L14" s="198">
        <v>0</v>
      </c>
      <c r="M14" s="199">
        <v>0</v>
      </c>
      <c r="N14" s="200">
        <f>K14+M14-L14</f>
        <v>-230135.21199999991</v>
      </c>
      <c r="O14" s="2"/>
      <c r="P14" s="111" t="s">
        <v>131</v>
      </c>
      <c r="Q14" s="123"/>
      <c r="R14" s="123"/>
      <c r="S14" s="182">
        <v>2021344.676</v>
      </c>
      <c r="T14" s="182">
        <v>1804722.959</v>
      </c>
      <c r="U14" s="110"/>
      <c r="V14" s="2"/>
      <c r="W14" s="2"/>
      <c r="X14" s="2"/>
      <c r="Y14" s="2"/>
      <c r="Z14" s="2"/>
    </row>
    <row r="15" spans="1:26" ht="12.75" customHeight="1" x14ac:dyDescent="0.2">
      <c r="A15" s="24"/>
      <c r="B15" s="2"/>
      <c r="C15" s="2"/>
      <c r="D15" s="2"/>
      <c r="E15" s="2"/>
      <c r="F15" s="2"/>
      <c r="G15" s="122" t="s">
        <v>132</v>
      </c>
      <c r="H15" s="125"/>
      <c r="I15" s="185">
        <f t="shared" ref="I15:N15" si="1">I12-SUM(I13:I14)</f>
        <v>469990.74799999874</v>
      </c>
      <c r="J15" s="185">
        <f t="shared" si="1"/>
        <v>766011.24500000197</v>
      </c>
      <c r="K15" s="185">
        <f t="shared" si="1"/>
        <v>460484.8390000012</v>
      </c>
      <c r="L15" s="191">
        <f t="shared" si="1"/>
        <v>0</v>
      </c>
      <c r="M15" s="192">
        <f t="shared" si="1"/>
        <v>0</v>
      </c>
      <c r="N15" s="185">
        <f t="shared" si="1"/>
        <v>460484.8390000012</v>
      </c>
      <c r="O15" s="2"/>
      <c r="P15" s="111" t="s">
        <v>133</v>
      </c>
      <c r="Q15" s="120"/>
      <c r="R15" s="120"/>
      <c r="S15" s="182">
        <v>321046.93900000001</v>
      </c>
      <c r="T15" s="182">
        <v>309887.75099999999</v>
      </c>
      <c r="U15" s="110"/>
      <c r="V15" s="2"/>
      <c r="W15" s="2"/>
      <c r="X15" s="2"/>
      <c r="Y15" s="2"/>
      <c r="Z15" s="2"/>
    </row>
    <row r="16" spans="1:26" ht="15" customHeight="1" x14ac:dyDescent="0.2">
      <c r="A16" s="24"/>
      <c r="B16" s="271" t="s">
        <v>134</v>
      </c>
      <c r="C16" s="269"/>
      <c r="D16" s="269"/>
      <c r="E16" s="269"/>
      <c r="F16" s="2"/>
      <c r="G16" s="111" t="s">
        <v>135</v>
      </c>
      <c r="H16" s="125"/>
      <c r="I16" s="182">
        <v>292679.83399999997</v>
      </c>
      <c r="J16" s="182">
        <v>207841.26</v>
      </c>
      <c r="K16" s="182">
        <v>219641.639</v>
      </c>
      <c r="L16" s="186">
        <v>0</v>
      </c>
      <c r="M16" s="187">
        <v>0</v>
      </c>
      <c r="N16" s="188">
        <f>K16+M16-L16</f>
        <v>219641.639</v>
      </c>
      <c r="O16" s="2"/>
      <c r="P16" s="111" t="s">
        <v>136</v>
      </c>
      <c r="Q16" s="123"/>
      <c r="R16" s="123"/>
      <c r="S16" s="182">
        <v>974323.43699999922</v>
      </c>
      <c r="T16" s="182">
        <v>4676501.2059999993</v>
      </c>
      <c r="U16" s="110"/>
      <c r="V16" s="2"/>
      <c r="W16" s="2"/>
      <c r="X16" s="2"/>
      <c r="Y16" s="2"/>
      <c r="Z16" s="2"/>
    </row>
    <row r="17" spans="1:26" ht="15" customHeight="1" x14ac:dyDescent="0.2">
      <c r="A17" s="24"/>
      <c r="B17" s="111" t="s">
        <v>137</v>
      </c>
      <c r="C17" s="111"/>
      <c r="D17" s="126">
        <v>0</v>
      </c>
      <c r="E17" s="201">
        <v>13350</v>
      </c>
      <c r="F17" s="2"/>
      <c r="G17" s="122" t="s">
        <v>138</v>
      </c>
      <c r="H17" s="111"/>
      <c r="I17" s="185">
        <f t="shared" ref="I17:N17" si="2">I15-SUM(I16)</f>
        <v>177310.91399999877</v>
      </c>
      <c r="J17" s="185">
        <f t="shared" si="2"/>
        <v>558169.98500000197</v>
      </c>
      <c r="K17" s="185">
        <f t="shared" si="2"/>
        <v>240843.2000000012</v>
      </c>
      <c r="L17" s="191">
        <f t="shared" si="2"/>
        <v>0</v>
      </c>
      <c r="M17" s="192">
        <f t="shared" si="2"/>
        <v>0</v>
      </c>
      <c r="N17" s="185">
        <f t="shared" si="2"/>
        <v>240843.2000000012</v>
      </c>
      <c r="O17" s="2"/>
      <c r="P17" s="124" t="s">
        <v>139</v>
      </c>
      <c r="Q17" s="120"/>
      <c r="R17" s="120"/>
      <c r="S17" s="202">
        <f>SUM(S12:S16)</f>
        <v>13519085.552999999</v>
      </c>
      <c r="T17" s="202">
        <f>SUM(T12:T16)</f>
        <v>16493912.202000003</v>
      </c>
      <c r="U17" s="110"/>
      <c r="V17" s="2"/>
      <c r="W17" s="2"/>
      <c r="X17" s="2"/>
      <c r="Y17" s="2"/>
      <c r="Z17" s="2"/>
    </row>
    <row r="18" spans="1:26" ht="12.75" customHeight="1" x14ac:dyDescent="0.2">
      <c r="A18" s="127"/>
      <c r="B18" s="128" t="s">
        <v>140</v>
      </c>
      <c r="C18" s="128"/>
      <c r="D18" s="129"/>
      <c r="E18" s="203">
        <f>+IF(ISERROR(E17/E19),"NA",E17/E19)</f>
        <v>0.65441176470588236</v>
      </c>
      <c r="F18" s="2"/>
      <c r="G18" s="111" t="s">
        <v>141</v>
      </c>
      <c r="H18" s="111"/>
      <c r="I18" s="182">
        <v>59902.349000000002</v>
      </c>
      <c r="J18" s="182">
        <v>105161.841</v>
      </c>
      <c r="K18" s="182">
        <v>43746.851000000002</v>
      </c>
      <c r="L18" s="186">
        <v>0</v>
      </c>
      <c r="M18" s="187">
        <v>0</v>
      </c>
      <c r="N18" s="195">
        <f>K18+M18-L18</f>
        <v>43746.851000000002</v>
      </c>
      <c r="O18" s="2"/>
      <c r="P18" s="111"/>
      <c r="Q18" s="111"/>
      <c r="R18" s="111"/>
      <c r="S18" s="111"/>
      <c r="T18" s="111"/>
      <c r="U18" s="110"/>
      <c r="V18" s="2"/>
      <c r="W18" s="2"/>
      <c r="X18" s="2"/>
      <c r="Y18" s="2"/>
      <c r="Z18" s="2"/>
    </row>
    <row r="19" spans="1:26" ht="15" customHeight="1" x14ac:dyDescent="0.2">
      <c r="A19" s="24"/>
      <c r="B19" s="111" t="s">
        <v>142</v>
      </c>
      <c r="C19" s="111"/>
      <c r="D19" s="204">
        <v>0</v>
      </c>
      <c r="E19" s="205">
        <v>20400</v>
      </c>
      <c r="F19" s="2"/>
      <c r="G19" s="111" t="s">
        <v>143</v>
      </c>
      <c r="H19" s="111"/>
      <c r="I19" s="197">
        <v>0</v>
      </c>
      <c r="J19" s="197">
        <v>0</v>
      </c>
      <c r="K19" s="197">
        <v>-25.931999999999999</v>
      </c>
      <c r="L19" s="198">
        <v>0</v>
      </c>
      <c r="M19" s="199">
        <v>0</v>
      </c>
      <c r="N19" s="206">
        <f>K19+M19-L19</f>
        <v>-25.931999999999999</v>
      </c>
      <c r="O19" s="2"/>
      <c r="P19" s="111" t="s">
        <v>144</v>
      </c>
      <c r="Q19" s="123"/>
      <c r="R19" s="123"/>
      <c r="S19" s="182">
        <v>855939.49199999997</v>
      </c>
      <c r="T19" s="182">
        <v>1470090.085</v>
      </c>
      <c r="U19" s="110"/>
      <c r="V19" s="2"/>
      <c r="W19" s="2"/>
      <c r="X19" s="2"/>
      <c r="Y19" s="2"/>
      <c r="Z19" s="2"/>
    </row>
    <row r="20" spans="1:26" ht="15" customHeight="1" x14ac:dyDescent="0.2">
      <c r="A20" s="24"/>
      <c r="B20" s="111" t="s">
        <v>145</v>
      </c>
      <c r="C20" s="111"/>
      <c r="D20" s="204">
        <v>0</v>
      </c>
      <c r="E20" s="205">
        <v>12800</v>
      </c>
      <c r="F20" s="2"/>
      <c r="G20" s="111" t="s">
        <v>146</v>
      </c>
      <c r="H20" s="111"/>
      <c r="I20" s="197">
        <v>0</v>
      </c>
      <c r="J20" s="197">
        <v>0</v>
      </c>
      <c r="K20" s="197">
        <v>0</v>
      </c>
      <c r="L20" s="198">
        <v>0</v>
      </c>
      <c r="M20" s="199">
        <v>0</v>
      </c>
      <c r="N20" s="200">
        <f>K20+M20-L20</f>
        <v>0</v>
      </c>
      <c r="O20" s="2"/>
      <c r="P20" s="111" t="s">
        <v>147</v>
      </c>
      <c r="Q20" s="190"/>
      <c r="R20" s="190"/>
      <c r="S20" s="182">
        <v>218843.799</v>
      </c>
      <c r="T20" s="182">
        <v>131611.75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117408.56499999877</v>
      </c>
      <c r="J21" s="202">
        <f t="shared" si="3"/>
        <v>453008.14400000195</v>
      </c>
      <c r="K21" s="202">
        <f t="shared" si="3"/>
        <v>197122.28100000121</v>
      </c>
      <c r="L21" s="207">
        <f t="shared" si="3"/>
        <v>0</v>
      </c>
      <c r="M21" s="208">
        <f t="shared" si="3"/>
        <v>0</v>
      </c>
      <c r="N21" s="202">
        <f t="shared" si="3"/>
        <v>197122.28100000121</v>
      </c>
      <c r="O21" s="2"/>
      <c r="P21" s="111" t="s">
        <v>150</v>
      </c>
      <c r="Q21" s="120"/>
      <c r="R21" s="120"/>
      <c r="S21" s="182">
        <v>6546103.4400000004</v>
      </c>
      <c r="T21" s="182">
        <v>4966615.9050000003</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0.33783791222237125</v>
      </c>
      <c r="J22" s="203">
        <f t="shared" si="4"/>
        <v>0.18840468643257419</v>
      </c>
      <c r="K22" s="203">
        <f t="shared" si="4"/>
        <v>0.18164038262238577</v>
      </c>
      <c r="L22" s="209" t="str">
        <f t="shared" si="4"/>
        <v>NA</v>
      </c>
      <c r="M22" s="210" t="str">
        <f t="shared" si="4"/>
        <v>NA</v>
      </c>
      <c r="N22" s="203">
        <f t="shared" si="4"/>
        <v>0.18164038262238577</v>
      </c>
      <c r="O22" s="2"/>
      <c r="P22" s="124" t="s">
        <v>152</v>
      </c>
      <c r="Q22" s="123"/>
      <c r="R22" s="123"/>
      <c r="S22" s="185">
        <f>SUM(S19:S21)</f>
        <v>7620886.7310000006</v>
      </c>
      <c r="T22" s="185">
        <f>SUM(T19:T21)</f>
        <v>6568317.7400000002</v>
      </c>
      <c r="U22" s="110"/>
      <c r="V22" s="2"/>
      <c r="W22" s="2"/>
      <c r="X22" s="2"/>
      <c r="Y22" s="2"/>
      <c r="Z22" s="2"/>
    </row>
    <row r="23" spans="1:26" ht="15" customHeight="1" x14ac:dyDescent="0.2">
      <c r="A23" s="24"/>
      <c r="B23" s="111" t="s">
        <v>153</v>
      </c>
      <c r="C23" s="111"/>
      <c r="D23" s="111"/>
      <c r="E23" s="211">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5975071.2613499993</v>
      </c>
      <c r="F24" s="2"/>
      <c r="G24" s="111" t="s">
        <v>155</v>
      </c>
      <c r="H24" s="111"/>
      <c r="I24" s="182">
        <v>447.57088099999999</v>
      </c>
      <c r="J24" s="182">
        <v>447.57088099999999</v>
      </c>
      <c r="K24" s="182">
        <v>447.57088099999999</v>
      </c>
      <c r="L24" s="186">
        <v>0</v>
      </c>
      <c r="M24" s="187">
        <v>0</v>
      </c>
      <c r="N24" s="195">
        <f>+IF(ISERROR(K24+M24-L24),"NA",K24+M24-L24)</f>
        <v>447.57088099999999</v>
      </c>
      <c r="O24" s="2"/>
      <c r="P24" s="133" t="s">
        <v>156</v>
      </c>
      <c r="Q24" s="120"/>
      <c r="R24" s="120"/>
      <c r="S24" s="182">
        <v>6311656.1229999997</v>
      </c>
      <c r="T24" s="182">
        <v>6867115.3449999997</v>
      </c>
      <c r="U24" s="110"/>
      <c r="V24" s="2"/>
      <c r="W24" s="2"/>
      <c r="X24" s="2"/>
      <c r="Y24" s="2"/>
      <c r="Z24" s="2"/>
    </row>
    <row r="25" spans="1:26" ht="15" customHeight="1" x14ac:dyDescent="0.2">
      <c r="A25" s="24"/>
      <c r="B25" s="111"/>
      <c r="C25" s="111"/>
      <c r="D25" s="111"/>
      <c r="E25" s="111"/>
      <c r="F25" s="2"/>
      <c r="G25" s="111" t="s">
        <v>157</v>
      </c>
      <c r="H25" s="111"/>
      <c r="I25" s="213">
        <f>IF(ISERROR(I21/I24),"NA",I21/I24)</f>
        <v>262.32395802353096</v>
      </c>
      <c r="J25" s="213">
        <f>+IF(ISERROR(J21/J24),"NA",J21/J24)</f>
        <v>1012.1483841572838</v>
      </c>
      <c r="K25" s="213">
        <f>+IF(ISERROR(K21/K24),"NA",K21/K24)</f>
        <v>440.42695664108948</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6867115.3449999997</v>
      </c>
      <c r="F26" s="2"/>
      <c r="G26" s="2"/>
      <c r="H26" s="2"/>
      <c r="I26" s="2"/>
      <c r="J26" s="2"/>
      <c r="K26" s="2"/>
      <c r="L26" s="2"/>
      <c r="M26" s="2"/>
      <c r="N26" s="2"/>
      <c r="O26" s="2"/>
      <c r="P26" s="124" t="s">
        <v>160</v>
      </c>
      <c r="Q26" s="111"/>
      <c r="R26" s="111"/>
      <c r="S26" s="185">
        <f>S22+SUM(S24:S25)</f>
        <v>13932542.854</v>
      </c>
      <c r="T26" s="185">
        <f>T22+SUM(T24:T25)</f>
        <v>13435433.085000001</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-25.931999999999999</v>
      </c>
      <c r="F28" s="2"/>
      <c r="G28" s="271" t="s">
        <v>163</v>
      </c>
      <c r="H28" s="269"/>
      <c r="I28" s="269"/>
      <c r="J28" s="269"/>
      <c r="K28" s="269"/>
      <c r="L28" s="269"/>
      <c r="M28" s="269"/>
      <c r="N28" s="269"/>
      <c r="O28" s="2"/>
      <c r="P28" s="111" t="s">
        <v>143</v>
      </c>
      <c r="Q28" s="136"/>
      <c r="R28" s="136"/>
      <c r="S28" s="182">
        <v>0</v>
      </c>
      <c r="T28" s="182">
        <v>-25.931999999999999</v>
      </c>
      <c r="U28" s="110"/>
      <c r="V28" s="2"/>
      <c r="W28" s="2"/>
      <c r="X28" s="2"/>
      <c r="Y28" s="2"/>
      <c r="Z28" s="2"/>
    </row>
    <row r="29" spans="1:26" ht="15" customHeight="1" x14ac:dyDescent="0.2">
      <c r="A29" s="24"/>
      <c r="B29" s="111" t="s">
        <v>164</v>
      </c>
      <c r="C29" s="111"/>
      <c r="D29" s="111"/>
      <c r="E29" s="217">
        <f>-T8</f>
        <v>-838864.11</v>
      </c>
      <c r="F29" s="2"/>
      <c r="G29" s="111" t="s">
        <v>165</v>
      </c>
      <c r="H29" s="111"/>
      <c r="I29" s="218">
        <f t="shared" ref="I29:N29" si="5">I12</f>
        <v>1112263.0159999989</v>
      </c>
      <c r="J29" s="218">
        <f t="shared" si="5"/>
        <v>1831773.9550000019</v>
      </c>
      <c r="K29" s="218">
        <f t="shared" si="5"/>
        <v>785173.58700000122</v>
      </c>
      <c r="L29" s="219">
        <f t="shared" si="5"/>
        <v>0</v>
      </c>
      <c r="M29" s="220">
        <f t="shared" si="5"/>
        <v>0</v>
      </c>
      <c r="N29" s="218">
        <f t="shared" si="5"/>
        <v>785173.58700000122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12003296.56435</v>
      </c>
      <c r="F30" s="221"/>
      <c r="G30" s="111" t="s">
        <v>168</v>
      </c>
      <c r="H30" s="111"/>
      <c r="I30" s="223">
        <v>0</v>
      </c>
      <c r="J30" s="223">
        <v>0</v>
      </c>
      <c r="K30" s="223">
        <v>0</v>
      </c>
      <c r="L30" s="186">
        <v>0</v>
      </c>
      <c r="M30" s="187">
        <v>0</v>
      </c>
      <c r="N30" s="188">
        <f>K30+M30-L30</f>
        <v>0</v>
      </c>
      <c r="O30" s="2"/>
      <c r="P30" s="133" t="s">
        <v>169</v>
      </c>
      <c r="Q30" s="224"/>
      <c r="R30" s="224"/>
      <c r="S30" s="182">
        <v>5871406.574</v>
      </c>
      <c r="T30" s="182">
        <v>7635393.3449999997</v>
      </c>
      <c r="U30" s="2"/>
      <c r="V30" s="2"/>
      <c r="W30" s="2"/>
      <c r="X30" s="2"/>
      <c r="Y30" s="2"/>
      <c r="Z30" s="2"/>
    </row>
    <row r="31" spans="1:26" ht="15" customHeight="1" x14ac:dyDescent="0.2">
      <c r="A31" s="24"/>
      <c r="B31" s="2"/>
      <c r="C31" s="2"/>
      <c r="D31" s="2"/>
      <c r="E31" s="2"/>
      <c r="F31" s="221"/>
      <c r="G31" s="122" t="s">
        <v>170</v>
      </c>
      <c r="H31" s="111"/>
      <c r="I31" s="185">
        <f t="shared" ref="I31:N31" si="6">SUM(I29:I30)</f>
        <v>1112263.0159999989</v>
      </c>
      <c r="J31" s="185">
        <f t="shared" si="6"/>
        <v>1831773.9550000019</v>
      </c>
      <c r="K31" s="185">
        <f t="shared" si="6"/>
        <v>785173.58700000122</v>
      </c>
      <c r="L31" s="191">
        <f t="shared" si="6"/>
        <v>0</v>
      </c>
      <c r="M31" s="192">
        <f t="shared" si="6"/>
        <v>0</v>
      </c>
      <c r="N31" s="185">
        <f t="shared" si="6"/>
        <v>785173.58700000122</v>
      </c>
      <c r="O31" s="2"/>
      <c r="P31" s="124" t="s">
        <v>171</v>
      </c>
      <c r="Q31" s="224"/>
      <c r="R31" s="224"/>
      <c r="S31" s="202">
        <f>S26+SUM(S28:S30)</f>
        <v>19803949.427999999</v>
      </c>
      <c r="T31" s="202">
        <f>T26+SUM(T28:T30)</f>
        <v>21070800.498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5.9812032479049218E-2</v>
      </c>
      <c r="J32" s="203">
        <f t="shared" si="7"/>
        <v>8.8882138032187821E-2</v>
      </c>
      <c r="K32" s="203">
        <f t="shared" si="7"/>
        <v>5.3023088718985985E-2</v>
      </c>
      <c r="L32" s="209" t="str">
        <f t="shared" si="7"/>
        <v>NA</v>
      </c>
      <c r="M32" s="210" t="str">
        <f t="shared" si="7"/>
        <v>NA</v>
      </c>
      <c r="N32" s="203">
        <f t="shared" si="7"/>
        <v>5.3023088718985985E-2</v>
      </c>
      <c r="O32" s="2"/>
      <c r="P32" s="128" t="s">
        <v>174</v>
      </c>
      <c r="Q32" s="137"/>
      <c r="R32" s="137"/>
      <c r="S32" s="225">
        <f>S17-S31</f>
        <v>-6284863.875</v>
      </c>
      <c r="T32" s="225">
        <f>T17-T31</f>
        <v>-4576888.2959999964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469990.74799999874</v>
      </c>
      <c r="J34" s="218">
        <f t="shared" si="8"/>
        <v>766011.24500000197</v>
      </c>
      <c r="K34" s="218">
        <f t="shared" si="8"/>
        <v>460484.8390000012</v>
      </c>
      <c r="L34" s="227">
        <f t="shared" si="8"/>
        <v>0</v>
      </c>
      <c r="M34" s="228">
        <f t="shared" si="8"/>
        <v>0</v>
      </c>
      <c r="N34" s="218">
        <f t="shared" si="8"/>
        <v>460484.8390000012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0.81058745376750507</v>
      </c>
      <c r="D35" s="229">
        <f>IF(ISERROR($E$30/D36),"NA",$E$30/D36)</f>
        <v>0.83565716883247954</v>
      </c>
      <c r="E35" s="229">
        <f>IF(ISERROR($E$30/E36),"NA",$E$30/E36)</f>
        <v>0.85271139676783636</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447.57088099999999</v>
      </c>
      <c r="U35" s="110"/>
      <c r="V35" s="2"/>
      <c r="W35" s="2"/>
      <c r="X35" s="2"/>
      <c r="Y35" s="2"/>
      <c r="Z35" s="2"/>
    </row>
    <row r="36" spans="1:26" ht="15" customHeight="1" x14ac:dyDescent="0.2">
      <c r="A36" s="24"/>
      <c r="B36" s="111" t="s">
        <v>181</v>
      </c>
      <c r="C36" s="218">
        <f>N10</f>
        <v>14808145.017000001</v>
      </c>
      <c r="D36" s="180">
        <v>14363900.66649</v>
      </c>
      <c r="E36" s="180">
        <v>14076622.6531602</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14.591258758968289</v>
      </c>
      <c r="D37" s="229">
        <f>IF(ISERROR($E$30/D38),"NA",$E$30/D38)</f>
        <v>15.042534784774347</v>
      </c>
      <c r="E37" s="229">
        <f>IF(ISERROR($E$30/E38),"NA",$E$30/E38)</f>
        <v>15.349525290586069</v>
      </c>
      <c r="F37" s="2"/>
      <c r="G37" s="122" t="s">
        <v>185</v>
      </c>
      <c r="H37" s="111"/>
      <c r="I37" s="185">
        <f t="shared" ref="I37:N37" si="10">SUM(I34:I36)</f>
        <v>469990.74799999874</v>
      </c>
      <c r="J37" s="185">
        <f t="shared" si="10"/>
        <v>766011.24500000197</v>
      </c>
      <c r="K37" s="185">
        <f t="shared" si="10"/>
        <v>460484.8390000012</v>
      </c>
      <c r="L37" s="191">
        <f t="shared" si="10"/>
        <v>0</v>
      </c>
      <c r="M37" s="192">
        <f t="shared" si="10"/>
        <v>0</v>
      </c>
      <c r="N37" s="185">
        <f t="shared" si="10"/>
        <v>460484.8390000012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822636.12500000116</v>
      </c>
      <c r="D38" s="180">
        <v>797957.04221999983</v>
      </c>
      <c r="E38" s="180">
        <v>781997.90137559979</v>
      </c>
      <c r="F38" s="2"/>
      <c r="G38" s="128" t="s">
        <v>173</v>
      </c>
      <c r="H38" s="128"/>
      <c r="I38" s="203">
        <f t="shared" ref="I38:N38" si="11">IF(ISERROR(I37/I10),"NA",I37/I10)</f>
        <v>2.5273789993776604E-2</v>
      </c>
      <c r="J38" s="203">
        <f t="shared" si="11"/>
        <v>3.7168733088738644E-2</v>
      </c>
      <c r="K38" s="203">
        <f t="shared" si="11"/>
        <v>3.1096726731900372E-2</v>
      </c>
      <c r="L38" s="209" t="str">
        <f t="shared" si="11"/>
        <v>NA</v>
      </c>
      <c r="M38" s="210" t="str">
        <f t="shared" si="11"/>
        <v>NA</v>
      </c>
      <c r="N38" s="203">
        <f t="shared" si="11"/>
        <v>3.1096726731900372E-2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26.066648774836143</v>
      </c>
      <c r="D39" s="229">
        <f>IF(ISERROR($E$30/D40),"NA",$E$30/D40)</f>
        <v>26.872833730133248</v>
      </c>
      <c r="E39" s="229">
        <f>IF(ISERROR($E$30/E40),"NA",$E$30/E40)</f>
        <v>27.421258908299237</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460484.8390000012</v>
      </c>
      <c r="D40" s="180">
        <v>446670.29479999992</v>
      </c>
      <c r="E40" s="180">
        <v>437736.88890399988</v>
      </c>
      <c r="F40" s="237"/>
      <c r="G40" s="111" t="s">
        <v>190</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191</v>
      </c>
      <c r="Q40" s="111"/>
      <c r="R40" s="111"/>
      <c r="S40" s="111"/>
      <c r="T40" s="238">
        <f>T35+SUM(T38:T39)</f>
        <v>447.57088099999999</v>
      </c>
      <c r="U40" s="110"/>
      <c r="V40" s="2"/>
      <c r="W40" s="2"/>
      <c r="X40" s="2"/>
      <c r="Y40" s="2"/>
      <c r="Z40" s="2"/>
    </row>
    <row r="41" spans="1:26" ht="12.75" customHeight="1" x14ac:dyDescent="0.2">
      <c r="A41" s="24"/>
      <c r="B41" s="111" t="s">
        <v>192</v>
      </c>
      <c r="C41" s="229">
        <f>IF(ISERROR($E$17/N52),"NA",E17/N52)</f>
        <v>30.31149614867719</v>
      </c>
      <c r="D41" s="229">
        <f>IF(ISERROR($E$17/D42),"NA",$E$17/D42)</f>
        <v>30.448864154730408</v>
      </c>
      <c r="E41" s="229">
        <f>IF(ISERROR($E$17/E42),"NA",$E$17/E42)</f>
        <v>31.070269545643274</v>
      </c>
      <c r="F41" s="2"/>
      <c r="G41" s="122" t="s">
        <v>193</v>
      </c>
      <c r="H41" s="111"/>
      <c r="I41" s="185">
        <f t="shared" ref="I41:N41" si="13">I40+I37</f>
        <v>845818.23899999866</v>
      </c>
      <c r="J41" s="185">
        <f t="shared" si="13"/>
        <v>1136181.6390000018</v>
      </c>
      <c r="K41" s="185">
        <f t="shared" si="13"/>
        <v>822636.12500000116</v>
      </c>
      <c r="L41" s="191">
        <f t="shared" si="13"/>
        <v>0</v>
      </c>
      <c r="M41" s="192">
        <f t="shared" si="13"/>
        <v>0</v>
      </c>
      <c r="N41" s="185">
        <f t="shared" si="13"/>
        <v>822636.12500000116</v>
      </c>
      <c r="O41" s="2"/>
      <c r="P41" s="111"/>
      <c r="Q41" s="111"/>
      <c r="R41" s="111"/>
      <c r="S41" s="111"/>
      <c r="T41" s="111"/>
      <c r="U41" s="110"/>
      <c r="V41" s="2"/>
      <c r="W41" s="2"/>
      <c r="X41" s="2"/>
      <c r="Y41" s="2"/>
      <c r="Z41" s="2"/>
    </row>
    <row r="42" spans="1:26" ht="15" customHeight="1" x14ac:dyDescent="0.2">
      <c r="A42" s="24"/>
      <c r="B42" s="111" t="s">
        <v>181</v>
      </c>
      <c r="C42" s="213">
        <f>N52</f>
        <v>440.42695664108948</v>
      </c>
      <c r="D42" s="201">
        <v>438.44</v>
      </c>
      <c r="E42" s="201">
        <v>429.6712</v>
      </c>
      <c r="F42" s="2"/>
      <c r="G42" s="128" t="s">
        <v>173</v>
      </c>
      <c r="H42" s="128"/>
      <c r="I42" s="203">
        <f t="shared" ref="I42:N42" si="14">IF(ISERROR(I41/I10),"NA",I41/I10)</f>
        <v>4.5483943325182165E-2</v>
      </c>
      <c r="J42" s="203">
        <f t="shared" si="14"/>
        <v>5.5130303054906932E-2</v>
      </c>
      <c r="K42" s="203">
        <f t="shared" si="14"/>
        <v>5.5552949005807345E-2</v>
      </c>
      <c r="L42" s="209" t="str">
        <f t="shared" si="14"/>
        <v>NA</v>
      </c>
      <c r="M42" s="210" t="str">
        <f t="shared" si="14"/>
        <v>NA</v>
      </c>
      <c r="N42" s="203">
        <f t="shared" si="14"/>
        <v>5.5552949005807345E-2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117408.56499999877</v>
      </c>
      <c r="J44" s="218">
        <f t="shared" si="15"/>
        <v>453008.14400000195</v>
      </c>
      <c r="K44" s="218">
        <f t="shared" si="15"/>
        <v>197122.28100000121</v>
      </c>
      <c r="L44" s="227">
        <f t="shared" si="15"/>
        <v>0</v>
      </c>
      <c r="M44" s="228">
        <f t="shared" si="15"/>
        <v>0</v>
      </c>
      <c r="N44" s="218">
        <f t="shared" si="15"/>
        <v>197122.28100000121</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3.6180414269212625E-2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2.9188598658770316E-2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1.3135794205506294E-2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117408.56499999877</v>
      </c>
      <c r="J49" s="202">
        <f t="shared" si="19"/>
        <v>453008.14400000195</v>
      </c>
      <c r="K49" s="202">
        <f t="shared" si="19"/>
        <v>197122.28100000121</v>
      </c>
      <c r="L49" s="207">
        <f t="shared" si="19"/>
        <v>0</v>
      </c>
      <c r="M49" s="208">
        <f t="shared" si="19"/>
        <v>0</v>
      </c>
      <c r="N49" s="202">
        <f t="shared" si="19"/>
        <v>197122.28100000121</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6.3136549557793568E-3</v>
      </c>
      <c r="J50" s="203">
        <f t="shared" si="20"/>
        <v>2.1981059548754938E-2</v>
      </c>
      <c r="K50" s="203">
        <f t="shared" si="20"/>
        <v>1.3311747067151321E-2</v>
      </c>
      <c r="L50" s="209" t="str">
        <f t="shared" si="20"/>
        <v>NA</v>
      </c>
      <c r="M50" s="210" t="str">
        <f t="shared" si="20"/>
        <v>NA</v>
      </c>
      <c r="N50" s="203">
        <f t="shared" si="20"/>
        <v>1.3311747067151321E-2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8.3476948511104947</v>
      </c>
      <c r="F52" s="2"/>
      <c r="G52" s="111" t="s">
        <v>219</v>
      </c>
      <c r="H52" s="111"/>
      <c r="I52" s="213">
        <f t="shared" ref="I52:N52" si="21">IF(ISERROR(I49/I24),0,I49/I24)</f>
        <v>262.32395802353096</v>
      </c>
      <c r="J52" s="213">
        <f t="shared" si="21"/>
        <v>1012.1483841572838</v>
      </c>
      <c r="K52" s="213">
        <f t="shared" si="21"/>
        <v>440.42695664108948</v>
      </c>
      <c r="L52" s="214">
        <f t="shared" si="21"/>
        <v>0</v>
      </c>
      <c r="M52" s="215">
        <f t="shared" si="21"/>
        <v>0</v>
      </c>
      <c r="N52" s="213">
        <f t="shared" si="21"/>
        <v>440.42695664108948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7.3279680429788945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3.7453559750571759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-11.874451187281476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2.0965279675408048</v>
      </c>
      <c r="F56" s="2"/>
      <c r="G56" s="111" t="s">
        <v>190</v>
      </c>
      <c r="H56" s="111"/>
      <c r="I56" s="182">
        <v>375827.49099999998</v>
      </c>
      <c r="J56" s="182">
        <v>370170.39399999997</v>
      </c>
      <c r="K56" s="182">
        <v>362151.28600000002</v>
      </c>
      <c r="L56" s="252">
        <v>0</v>
      </c>
      <c r="M56" s="253">
        <v>0</v>
      </c>
      <c r="N56" s="195">
        <f>K56+M56-L56</f>
        <v>362151.28600000002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2.0210153331405561E-2</v>
      </c>
      <c r="J57" s="255">
        <f t="shared" si="22"/>
        <v>1.7961569966168295E-2</v>
      </c>
      <c r="K57" s="255">
        <f t="shared" si="22"/>
        <v>2.4456222273906977E-2</v>
      </c>
      <c r="L57" s="256" t="str">
        <f t="shared" si="22"/>
        <v>NA</v>
      </c>
      <c r="M57" s="257" t="str">
        <f t="shared" si="22"/>
        <v>NA</v>
      </c>
      <c r="N57" s="255">
        <f t="shared" si="22"/>
        <v>2.4456222273906977E-2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130230.497</v>
      </c>
      <c r="J58" s="182">
        <v>884430.18400000001</v>
      </c>
      <c r="K58" s="182">
        <v>3430760.0460000001</v>
      </c>
      <c r="L58" s="186">
        <v>0</v>
      </c>
      <c r="M58" s="187">
        <v>0</v>
      </c>
      <c r="N58" s="195">
        <f>K58+M58-L58</f>
        <v>3430760.0460000001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7.0031553726737682E-3</v>
      </c>
      <c r="J59" s="255">
        <f t="shared" si="23"/>
        <v>4.2914708706032013E-2</v>
      </c>
      <c r="K59" s="255">
        <f t="shared" si="23"/>
        <v>0.23168060834503104</v>
      </c>
      <c r="L59" s="258" t="str">
        <f t="shared" si="23"/>
        <v>NA</v>
      </c>
      <c r="M59" s="259" t="str">
        <f t="shared" si="23"/>
        <v>NA</v>
      </c>
      <c r="N59" s="255">
        <f t="shared" si="23"/>
        <v>0.23168060834503104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-0.28147270256299339</v>
      </c>
      <c r="D61" s="203">
        <f>IF(ISERROR(K41/J41-1),0,K41/J41-1)</f>
        <v>-0.27596425011406134</v>
      </c>
      <c r="E61" s="203">
        <f>IF(ISERROR(K52/J52-1),0,K52/J52-1)</f>
        <v>-0.56485929974804083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-0.10763842505073784</v>
      </c>
      <c r="D62" s="203">
        <f>IF(ISERROR((K41/I41)^(1/2)-1),0,(K41/I41)^(1/2)-1)</f>
        <v>-1.3799165751279374E-2</v>
      </c>
      <c r="E62" s="203">
        <f>IF(ISERROR((K52/I52)^(1/2)-1),0,(K52/I52)^(1/2)-1)</f>
        <v>0.29574030477770474</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-2.9999998820865459E-2</v>
      </c>
      <c r="E64" s="203">
        <f>IF(ISERROR(D42/K52-1),0,D42/K52-1)</f>
        <v>-4.5114328519829661E-3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-2.5012820004513103E-2</v>
      </c>
      <c r="E65" s="203">
        <f>IF(ISERROR((E42/K52)^(1/2)-1),0,(E42/K52)^(1/2)-1)</f>
        <v>-1.2286075928329976E-2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135720.622</v>
      </c>
      <c r="T8" s="180">
        <v>60338.803999999996</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643909.00100000005</v>
      </c>
      <c r="T9" s="182">
        <v>344585.84</v>
      </c>
      <c r="U9" s="110"/>
      <c r="V9" s="2"/>
      <c r="W9" s="2"/>
      <c r="X9" s="2"/>
      <c r="Y9" s="2"/>
      <c r="Z9" s="2"/>
    </row>
    <row r="10" spans="1:26" ht="15" customHeight="1" x14ac:dyDescent="0.2">
      <c r="A10" s="24"/>
      <c r="B10" s="111" t="s">
        <v>118</v>
      </c>
      <c r="C10" s="111"/>
      <c r="D10" s="121"/>
      <c r="E10" s="150">
        <v>46022</v>
      </c>
      <c r="F10" s="2"/>
      <c r="G10" s="122" t="s">
        <v>34</v>
      </c>
      <c r="H10" s="122"/>
      <c r="I10" s="180">
        <v>7555693.0609999998</v>
      </c>
      <c r="J10" s="180">
        <v>7321865.8300000001</v>
      </c>
      <c r="K10" s="180">
        <v>7318590.5640000002</v>
      </c>
      <c r="L10" s="183">
        <v>0</v>
      </c>
      <c r="M10" s="184">
        <v>0</v>
      </c>
      <c r="N10" s="185">
        <f>K10+M10-L10</f>
        <v>7318590.5640000002</v>
      </c>
      <c r="O10" s="2"/>
      <c r="P10" s="111" t="s">
        <v>119</v>
      </c>
      <c r="Q10" s="123"/>
      <c r="R10" s="123"/>
      <c r="S10" s="182">
        <v>546239.59299999999</v>
      </c>
      <c r="T10" s="182">
        <v>531443.28</v>
      </c>
      <c r="U10" s="110"/>
      <c r="V10" s="2"/>
      <c r="W10" s="2"/>
      <c r="X10" s="2"/>
      <c r="Y10" s="2"/>
      <c r="Z10" s="2"/>
    </row>
    <row r="11" spans="1:26" ht="15" customHeight="1" x14ac:dyDescent="0.2">
      <c r="A11" s="24"/>
      <c r="B11" s="111" t="s">
        <v>120</v>
      </c>
      <c r="C11" s="111"/>
      <c r="D11" s="117"/>
      <c r="E11" s="149" t="s">
        <v>121</v>
      </c>
      <c r="F11" s="2"/>
      <c r="G11" s="111" t="s">
        <v>122</v>
      </c>
      <c r="H11" s="111"/>
      <c r="I11" s="182">
        <v>7364782.4469999997</v>
      </c>
      <c r="J11" s="182">
        <v>7099875.1380000003</v>
      </c>
      <c r="K11" s="182">
        <v>7032910.983</v>
      </c>
      <c r="L11" s="186">
        <v>0</v>
      </c>
      <c r="M11" s="187">
        <v>0</v>
      </c>
      <c r="N11" s="188">
        <f>K11+M11-L11</f>
        <v>7032910.983</v>
      </c>
      <c r="O11" s="189"/>
      <c r="P11" s="111" t="s">
        <v>123</v>
      </c>
      <c r="Q11" s="190"/>
      <c r="R11" s="190"/>
      <c r="S11" s="182">
        <v>1095.9569999999369</v>
      </c>
      <c r="T11" s="182">
        <v>302560.34499999997</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190910.61400000006</v>
      </c>
      <c r="J12" s="185">
        <f t="shared" si="0"/>
        <v>221990.69199999981</v>
      </c>
      <c r="K12" s="185">
        <f t="shared" si="0"/>
        <v>285679.58100000024</v>
      </c>
      <c r="L12" s="191">
        <f t="shared" si="0"/>
        <v>0</v>
      </c>
      <c r="M12" s="192">
        <f t="shared" si="0"/>
        <v>0</v>
      </c>
      <c r="N12" s="185">
        <f t="shared" si="0"/>
        <v>285679.58100000024</v>
      </c>
      <c r="O12" s="2"/>
      <c r="P12" s="124" t="s">
        <v>126</v>
      </c>
      <c r="Q12" s="120"/>
      <c r="R12" s="120"/>
      <c r="S12" s="185">
        <f>SUM(S8:S11)</f>
        <v>1326965.173</v>
      </c>
      <c r="T12" s="185">
        <f>SUM(T8:T11)</f>
        <v>1238928.2690000001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85211.687999999995</v>
      </c>
      <c r="J13" s="182">
        <v>78153.100000000006</v>
      </c>
      <c r="K13" s="182">
        <v>93949.351999999999</v>
      </c>
      <c r="L13" s="186">
        <v>0</v>
      </c>
      <c r="M13" s="187">
        <v>0</v>
      </c>
      <c r="N13" s="195">
        <f>K13+M13-L13</f>
        <v>93949.351999999999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-2757.3859999999991</v>
      </c>
      <c r="J14" s="197">
        <v>-11860.043999999991</v>
      </c>
      <c r="K14" s="197">
        <v>-80307.94</v>
      </c>
      <c r="L14" s="198">
        <v>0</v>
      </c>
      <c r="M14" s="199">
        <v>0</v>
      </c>
      <c r="N14" s="200">
        <f>K14+M14-L14</f>
        <v>-80307.94</v>
      </c>
      <c r="O14" s="2"/>
      <c r="P14" s="111" t="s">
        <v>131</v>
      </c>
      <c r="Q14" s="123"/>
      <c r="R14" s="123"/>
      <c r="S14" s="182">
        <v>107541.567</v>
      </c>
      <c r="T14" s="182">
        <v>104701.712</v>
      </c>
      <c r="U14" s="110"/>
      <c r="V14" s="2"/>
      <c r="W14" s="2"/>
      <c r="X14" s="2"/>
      <c r="Y14" s="2"/>
      <c r="Z14" s="2"/>
    </row>
    <row r="15" spans="1:26" ht="12.75" customHeight="1" x14ac:dyDescent="0.2">
      <c r="A15" s="24"/>
      <c r="B15" s="2"/>
      <c r="C15" s="2"/>
      <c r="D15" s="2"/>
      <c r="E15" s="2"/>
      <c r="F15" s="2"/>
      <c r="G15" s="122" t="s">
        <v>132</v>
      </c>
      <c r="H15" s="125"/>
      <c r="I15" s="185">
        <f t="shared" ref="I15:N15" si="1">I12-SUM(I13:I14)</f>
        <v>108456.31200000006</v>
      </c>
      <c r="J15" s="185">
        <f t="shared" si="1"/>
        <v>155697.63599999979</v>
      </c>
      <c r="K15" s="185">
        <f t="shared" si="1"/>
        <v>272038.16900000023</v>
      </c>
      <c r="L15" s="191">
        <f t="shared" si="1"/>
        <v>0</v>
      </c>
      <c r="M15" s="192">
        <f t="shared" si="1"/>
        <v>0</v>
      </c>
      <c r="N15" s="185">
        <f t="shared" si="1"/>
        <v>272038.16900000023</v>
      </c>
      <c r="O15" s="2"/>
      <c r="P15" s="111" t="s">
        <v>133</v>
      </c>
      <c r="Q15" s="120"/>
      <c r="R15" s="120"/>
      <c r="S15" s="182">
        <v>14361.061</v>
      </c>
      <c r="T15" s="182">
        <v>13923.826999999999</v>
      </c>
      <c r="U15" s="110"/>
      <c r="V15" s="2"/>
      <c r="W15" s="2"/>
      <c r="X15" s="2"/>
      <c r="Y15" s="2"/>
      <c r="Z15" s="2"/>
    </row>
    <row r="16" spans="1:26" ht="15" customHeight="1" x14ac:dyDescent="0.2">
      <c r="A16" s="24"/>
      <c r="B16" s="271" t="s">
        <v>134</v>
      </c>
      <c r="C16" s="269"/>
      <c r="D16" s="269"/>
      <c r="E16" s="269"/>
      <c r="F16" s="2"/>
      <c r="G16" s="111" t="s">
        <v>135</v>
      </c>
      <c r="H16" s="125"/>
      <c r="I16" s="182">
        <v>36166.019999999997</v>
      </c>
      <c r="J16" s="182">
        <v>20776.917000000001</v>
      </c>
      <c r="K16" s="182">
        <v>17944.805</v>
      </c>
      <c r="L16" s="186">
        <v>0</v>
      </c>
      <c r="M16" s="187">
        <v>0</v>
      </c>
      <c r="N16" s="188">
        <f>K16+M16-L16</f>
        <v>17944.805</v>
      </c>
      <c r="O16" s="2"/>
      <c r="P16" s="111" t="s">
        <v>136</v>
      </c>
      <c r="Q16" s="123"/>
      <c r="R16" s="123"/>
      <c r="S16" s="182">
        <v>885227.99300000025</v>
      </c>
      <c r="T16" s="182">
        <v>971840.09399999958</v>
      </c>
      <c r="U16" s="110"/>
      <c r="V16" s="2"/>
      <c r="W16" s="2"/>
      <c r="X16" s="2"/>
      <c r="Y16" s="2"/>
      <c r="Z16" s="2"/>
    </row>
    <row r="17" spans="1:26" ht="15" customHeight="1" x14ac:dyDescent="0.2">
      <c r="A17" s="24"/>
      <c r="B17" s="111" t="s">
        <v>137</v>
      </c>
      <c r="C17" s="111"/>
      <c r="D17" s="126">
        <v>0</v>
      </c>
      <c r="E17" s="201">
        <v>21200</v>
      </c>
      <c r="F17" s="2"/>
      <c r="G17" s="122" t="s">
        <v>138</v>
      </c>
      <c r="H17" s="111"/>
      <c r="I17" s="185">
        <f t="shared" ref="I17:N17" si="2">I15-SUM(I16)</f>
        <v>72290.292000000074</v>
      </c>
      <c r="J17" s="185">
        <f t="shared" si="2"/>
        <v>134920.71899999981</v>
      </c>
      <c r="K17" s="185">
        <f t="shared" si="2"/>
        <v>254093.36400000023</v>
      </c>
      <c r="L17" s="191">
        <f t="shared" si="2"/>
        <v>0</v>
      </c>
      <c r="M17" s="192">
        <f t="shared" si="2"/>
        <v>0</v>
      </c>
      <c r="N17" s="185">
        <f t="shared" si="2"/>
        <v>254093.36400000023</v>
      </c>
      <c r="O17" s="2"/>
      <c r="P17" s="124" t="s">
        <v>139</v>
      </c>
      <c r="Q17" s="120"/>
      <c r="R17" s="120"/>
      <c r="S17" s="202">
        <f>SUM(S12:S16)</f>
        <v>2334095.7940000002</v>
      </c>
      <c r="T17" s="202">
        <f>SUM(T12:T16)</f>
        <v>2329393.9019999998</v>
      </c>
      <c r="U17" s="110"/>
      <c r="V17" s="2"/>
      <c r="W17" s="2"/>
      <c r="X17" s="2"/>
      <c r="Y17" s="2"/>
      <c r="Z17" s="2"/>
    </row>
    <row r="18" spans="1:26" ht="12.75" customHeight="1" x14ac:dyDescent="0.2">
      <c r="A18" s="127"/>
      <c r="B18" s="128" t="s">
        <v>140</v>
      </c>
      <c r="C18" s="128"/>
      <c r="D18" s="129"/>
      <c r="E18" s="203">
        <f>+IF(ISERROR(E17/E19),"NA",E17/E19)</f>
        <v>0.62362112075305187</v>
      </c>
      <c r="F18" s="2"/>
      <c r="G18" s="111" t="s">
        <v>141</v>
      </c>
      <c r="H18" s="111"/>
      <c r="I18" s="182">
        <v>14212.699000000001</v>
      </c>
      <c r="J18" s="182">
        <v>25050.855</v>
      </c>
      <c r="K18" s="182">
        <v>37052.347999999998</v>
      </c>
      <c r="L18" s="186">
        <v>0</v>
      </c>
      <c r="M18" s="187">
        <v>0</v>
      </c>
      <c r="N18" s="195">
        <f>K18+M18-L18</f>
        <v>37052.347999999998</v>
      </c>
      <c r="O18" s="2"/>
      <c r="P18" s="111"/>
      <c r="Q18" s="111"/>
      <c r="R18" s="111"/>
      <c r="S18" s="111"/>
      <c r="T18" s="111"/>
      <c r="U18" s="110"/>
      <c r="V18" s="2"/>
      <c r="W18" s="2"/>
      <c r="X18" s="2"/>
      <c r="Y18" s="2"/>
      <c r="Z18" s="2"/>
    </row>
    <row r="19" spans="1:26" ht="15" customHeight="1" x14ac:dyDescent="0.2">
      <c r="A19" s="24"/>
      <c r="B19" s="111" t="s">
        <v>142</v>
      </c>
      <c r="C19" s="111"/>
      <c r="D19" s="204">
        <v>0</v>
      </c>
      <c r="E19" s="205">
        <v>33995</v>
      </c>
      <c r="F19" s="2"/>
      <c r="G19" s="111" t="s">
        <v>143</v>
      </c>
      <c r="H19" s="111"/>
      <c r="I19" s="197">
        <v>10.89</v>
      </c>
      <c r="J19" s="197">
        <v>15.259</v>
      </c>
      <c r="K19" s="197">
        <v>22.981999999999999</v>
      </c>
      <c r="L19" s="198">
        <v>0</v>
      </c>
      <c r="M19" s="199">
        <v>0</v>
      </c>
      <c r="N19" s="206">
        <f>K19+M19-L19</f>
        <v>22.981999999999999</v>
      </c>
      <c r="O19" s="2"/>
      <c r="P19" s="111" t="s">
        <v>144</v>
      </c>
      <c r="Q19" s="123"/>
      <c r="R19" s="123"/>
      <c r="S19" s="182">
        <v>393220.67599999998</v>
      </c>
      <c r="T19" s="182">
        <v>128835.16800000001</v>
      </c>
      <c r="U19" s="110"/>
      <c r="V19" s="2"/>
      <c r="W19" s="2"/>
      <c r="X19" s="2"/>
      <c r="Y19" s="2"/>
      <c r="Z19" s="2"/>
    </row>
    <row r="20" spans="1:26" ht="15" customHeight="1" x14ac:dyDescent="0.2">
      <c r="A20" s="24"/>
      <c r="B20" s="111" t="s">
        <v>145</v>
      </c>
      <c r="C20" s="111"/>
      <c r="D20" s="204">
        <v>0</v>
      </c>
      <c r="E20" s="205">
        <v>20588</v>
      </c>
      <c r="F20" s="2"/>
      <c r="G20" s="111" t="s">
        <v>146</v>
      </c>
      <c r="H20" s="111"/>
      <c r="I20" s="197">
        <v>0</v>
      </c>
      <c r="J20" s="197">
        <v>0</v>
      </c>
      <c r="K20" s="197">
        <v>0</v>
      </c>
      <c r="L20" s="198">
        <v>0</v>
      </c>
      <c r="M20" s="199">
        <v>0</v>
      </c>
      <c r="N20" s="200">
        <f>K20+M20-L20</f>
        <v>0</v>
      </c>
      <c r="O20" s="2"/>
      <c r="P20" s="111" t="s">
        <v>147</v>
      </c>
      <c r="Q20" s="190"/>
      <c r="R20" s="190"/>
      <c r="S20" s="182">
        <v>31881.495999999999</v>
      </c>
      <c r="T20" s="182">
        <v>52707.196000000004</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58066.703000000074</v>
      </c>
      <c r="J21" s="202">
        <f t="shared" si="3"/>
        <v>109854.60499999981</v>
      </c>
      <c r="K21" s="202">
        <f t="shared" si="3"/>
        <v>217018.03400000022</v>
      </c>
      <c r="L21" s="207">
        <f t="shared" si="3"/>
        <v>0</v>
      </c>
      <c r="M21" s="208">
        <f t="shared" si="3"/>
        <v>0</v>
      </c>
      <c r="N21" s="202">
        <f t="shared" si="3"/>
        <v>217018.03400000022</v>
      </c>
      <c r="O21" s="2"/>
      <c r="P21" s="111" t="s">
        <v>150</v>
      </c>
      <c r="Q21" s="120"/>
      <c r="R21" s="120"/>
      <c r="S21" s="182">
        <v>618682.20499999996</v>
      </c>
      <c r="T21" s="182">
        <v>644058.946</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0.19660591494083307</v>
      </c>
      <c r="J22" s="203">
        <f t="shared" si="4"/>
        <v>0.18567092723542361</v>
      </c>
      <c r="K22" s="203">
        <f t="shared" si="4"/>
        <v>0.14582178541270352</v>
      </c>
      <c r="L22" s="209" t="str">
        <f t="shared" si="4"/>
        <v>NA</v>
      </c>
      <c r="M22" s="210" t="str">
        <f t="shared" si="4"/>
        <v>NA</v>
      </c>
      <c r="N22" s="203">
        <f t="shared" si="4"/>
        <v>0.14582178541270352</v>
      </c>
      <c r="O22" s="2"/>
      <c r="P22" s="124" t="s">
        <v>152</v>
      </c>
      <c r="Q22" s="123"/>
      <c r="R22" s="123"/>
      <c r="S22" s="185">
        <f>SUM(S19:S21)</f>
        <v>1043784.3769999999</v>
      </c>
      <c r="T22" s="185">
        <f>SUM(T19:T21)</f>
        <v>825601.31</v>
      </c>
      <c r="U22" s="110"/>
      <c r="V22" s="2"/>
      <c r="W22" s="2"/>
      <c r="X22" s="2"/>
      <c r="Y22" s="2"/>
      <c r="Z22" s="2"/>
    </row>
    <row r="23" spans="1:26" ht="15" customHeight="1" x14ac:dyDescent="0.2">
      <c r="A23" s="24"/>
      <c r="B23" s="111" t="s">
        <v>153</v>
      </c>
      <c r="C23" s="111"/>
      <c r="D23" s="111"/>
      <c r="E23" s="211">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1304312.0859999999</v>
      </c>
      <c r="F24" s="2"/>
      <c r="G24" s="111" t="s">
        <v>155</v>
      </c>
      <c r="H24" s="111"/>
      <c r="I24" s="182">
        <v>61.524155</v>
      </c>
      <c r="J24" s="182">
        <v>61.524155</v>
      </c>
      <c r="K24" s="182">
        <v>61.524155</v>
      </c>
      <c r="L24" s="186">
        <v>0</v>
      </c>
      <c r="M24" s="187">
        <v>0</v>
      </c>
      <c r="N24" s="195">
        <f>+IF(ISERROR(K24+M24-L24),"NA",K24+M24-L24)</f>
        <v>61.524155</v>
      </c>
      <c r="O24" s="2"/>
      <c r="P24" s="133" t="s">
        <v>156</v>
      </c>
      <c r="Q24" s="120"/>
      <c r="R24" s="120"/>
      <c r="S24" s="182">
        <v>782407.80299999996</v>
      </c>
      <c r="T24" s="182">
        <v>571928.55900000001</v>
      </c>
      <c r="U24" s="110"/>
      <c r="V24" s="2"/>
      <c r="W24" s="2"/>
      <c r="X24" s="2"/>
      <c r="Y24" s="2"/>
      <c r="Z24" s="2"/>
    </row>
    <row r="25" spans="1:26" ht="15" customHeight="1" x14ac:dyDescent="0.2">
      <c r="A25" s="24"/>
      <c r="B25" s="111"/>
      <c r="C25" s="111"/>
      <c r="D25" s="111"/>
      <c r="E25" s="111"/>
      <c r="F25" s="2"/>
      <c r="G25" s="111" t="s">
        <v>157</v>
      </c>
      <c r="H25" s="111"/>
      <c r="I25" s="213">
        <f>IF(ISERROR(I21/I24),"NA",I21/I24)</f>
        <v>943.80334033031534</v>
      </c>
      <c r="J25" s="213">
        <f>+IF(ISERROR(J21/J24),"NA",J21/J24)</f>
        <v>1785.5524387128894</v>
      </c>
      <c r="K25" s="213">
        <f>+IF(ISERROR(K21/K24),"NA",K21/K24)</f>
        <v>3527.3630982822961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571928.55900000001</v>
      </c>
      <c r="F26" s="2"/>
      <c r="G26" s="2"/>
      <c r="H26" s="2"/>
      <c r="I26" s="2"/>
      <c r="J26" s="2"/>
      <c r="K26" s="2"/>
      <c r="L26" s="2"/>
      <c r="M26" s="2"/>
      <c r="N26" s="2"/>
      <c r="O26" s="2"/>
      <c r="P26" s="124" t="s">
        <v>160</v>
      </c>
      <c r="Q26" s="111"/>
      <c r="R26" s="111"/>
      <c r="S26" s="185">
        <f>S22+SUM(S24:S25)</f>
        <v>1826192.1799999997</v>
      </c>
      <c r="T26" s="185">
        <f>T22+SUM(T24:T25)</f>
        <v>1397529.8689999999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22.981999999999999</v>
      </c>
      <c r="F28" s="2"/>
      <c r="G28" s="271" t="s">
        <v>163</v>
      </c>
      <c r="H28" s="269"/>
      <c r="I28" s="269"/>
      <c r="J28" s="269"/>
      <c r="K28" s="269"/>
      <c r="L28" s="269"/>
      <c r="M28" s="269"/>
      <c r="N28" s="269"/>
      <c r="O28" s="2"/>
      <c r="P28" s="111" t="s">
        <v>143</v>
      </c>
      <c r="Q28" s="136"/>
      <c r="R28" s="136"/>
      <c r="S28" s="182">
        <v>15.259</v>
      </c>
      <c r="T28" s="182">
        <v>22.981999999999999</v>
      </c>
      <c r="U28" s="110"/>
      <c r="V28" s="2"/>
      <c r="W28" s="2"/>
      <c r="X28" s="2"/>
      <c r="Y28" s="2"/>
      <c r="Z28" s="2"/>
    </row>
    <row r="29" spans="1:26" ht="15" customHeight="1" x14ac:dyDescent="0.2">
      <c r="A29" s="24"/>
      <c r="B29" s="111" t="s">
        <v>164</v>
      </c>
      <c r="C29" s="111"/>
      <c r="D29" s="111"/>
      <c r="E29" s="217">
        <f>-T8</f>
        <v>-60338.803999999996</v>
      </c>
      <c r="F29" s="2"/>
      <c r="G29" s="111" t="s">
        <v>165</v>
      </c>
      <c r="H29" s="111"/>
      <c r="I29" s="218">
        <f t="shared" ref="I29:N29" si="5">I12</f>
        <v>190910.61400000006</v>
      </c>
      <c r="J29" s="218">
        <f t="shared" si="5"/>
        <v>221990.69199999981</v>
      </c>
      <c r="K29" s="218">
        <f t="shared" si="5"/>
        <v>285679.58100000024</v>
      </c>
      <c r="L29" s="219">
        <f t="shared" si="5"/>
        <v>0</v>
      </c>
      <c r="M29" s="220">
        <f t="shared" si="5"/>
        <v>0</v>
      </c>
      <c r="N29" s="218">
        <f t="shared" si="5"/>
        <v>285679.58100000024</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1815924.8230000001</v>
      </c>
      <c r="F30" s="221"/>
      <c r="G30" s="111" t="s">
        <v>168</v>
      </c>
      <c r="H30" s="111"/>
      <c r="I30" s="223">
        <v>0</v>
      </c>
      <c r="J30" s="223">
        <v>0</v>
      </c>
      <c r="K30" s="223">
        <v>0</v>
      </c>
      <c r="L30" s="186">
        <v>0</v>
      </c>
      <c r="M30" s="187">
        <v>0</v>
      </c>
      <c r="N30" s="188">
        <f>K30+M30-L30</f>
        <v>0</v>
      </c>
      <c r="O30" s="2"/>
      <c r="P30" s="133" t="s">
        <v>169</v>
      </c>
      <c r="Q30" s="224"/>
      <c r="R30" s="224"/>
      <c r="S30" s="182">
        <v>1084580.5789999999</v>
      </c>
      <c r="T30" s="182">
        <v>1295742.236</v>
      </c>
      <c r="U30" s="2"/>
      <c r="V30" s="2"/>
      <c r="W30" s="2"/>
      <c r="X30" s="2"/>
      <c r="Y30" s="2"/>
      <c r="Z30" s="2"/>
    </row>
    <row r="31" spans="1:26" ht="15" customHeight="1" x14ac:dyDescent="0.2">
      <c r="A31" s="24"/>
      <c r="B31" s="2"/>
      <c r="C31" s="2"/>
      <c r="D31" s="2"/>
      <c r="E31" s="2"/>
      <c r="F31" s="221"/>
      <c r="G31" s="122" t="s">
        <v>170</v>
      </c>
      <c r="H31" s="111"/>
      <c r="I31" s="185">
        <f t="shared" ref="I31:N31" si="6">SUM(I29:I30)</f>
        <v>190910.61400000006</v>
      </c>
      <c r="J31" s="185">
        <f t="shared" si="6"/>
        <v>221990.69199999981</v>
      </c>
      <c r="K31" s="185">
        <f t="shared" si="6"/>
        <v>285679.58100000024</v>
      </c>
      <c r="L31" s="191">
        <f t="shared" si="6"/>
        <v>0</v>
      </c>
      <c r="M31" s="192">
        <f t="shared" si="6"/>
        <v>0</v>
      </c>
      <c r="N31" s="185">
        <f t="shared" si="6"/>
        <v>285679.58100000024</v>
      </c>
      <c r="O31" s="2"/>
      <c r="P31" s="124" t="s">
        <v>171</v>
      </c>
      <c r="Q31" s="224"/>
      <c r="R31" s="224"/>
      <c r="S31" s="202">
        <f>S26+SUM(S28:S30)</f>
        <v>2910788.0179999997</v>
      </c>
      <c r="T31" s="202">
        <f>T26+SUM(T28:T30)</f>
        <v>2693295.0870000003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2.5267121422046349E-2</v>
      </c>
      <c r="J32" s="203">
        <f t="shared" si="7"/>
        <v>3.0318869145407407E-2</v>
      </c>
      <c r="K32" s="203">
        <f t="shared" si="7"/>
        <v>3.9034781151066483E-2</v>
      </c>
      <c r="L32" s="209" t="str">
        <f t="shared" si="7"/>
        <v>NA</v>
      </c>
      <c r="M32" s="210" t="str">
        <f t="shared" si="7"/>
        <v>NA</v>
      </c>
      <c r="N32" s="203">
        <f t="shared" si="7"/>
        <v>3.9034781151066483E-2</v>
      </c>
      <c r="O32" s="2"/>
      <c r="P32" s="128" t="s">
        <v>174</v>
      </c>
      <c r="Q32" s="137"/>
      <c r="R32" s="137"/>
      <c r="S32" s="225">
        <f>S17-S31</f>
        <v>-576692.22399999946</v>
      </c>
      <c r="T32" s="225">
        <f>T17-T31</f>
        <v>-363901.18500000052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108456.31200000006</v>
      </c>
      <c r="J34" s="218">
        <f t="shared" si="8"/>
        <v>155697.63599999979</v>
      </c>
      <c r="K34" s="218">
        <f t="shared" si="8"/>
        <v>272038.16900000023</v>
      </c>
      <c r="L34" s="227">
        <f t="shared" si="8"/>
        <v>0</v>
      </c>
      <c r="M34" s="228">
        <f t="shared" si="8"/>
        <v>0</v>
      </c>
      <c r="N34" s="218">
        <f t="shared" si="8"/>
        <v>272038.16900000023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0.24812493705174571</v>
      </c>
      <c r="D35" s="229">
        <f>IF(ISERROR($E$30/D36),"NA",$E$30/D36)</f>
        <v>0.24996542057081686</v>
      </c>
      <c r="E35" s="229">
        <f>IF(ISERROR($E$30/E36),"NA",$E$30/E36)</f>
        <v>0.25148378436164409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61.524155</v>
      </c>
      <c r="U35" s="110"/>
      <c r="V35" s="2"/>
      <c r="W35" s="2"/>
      <c r="X35" s="2"/>
      <c r="Y35" s="2"/>
      <c r="Z35" s="2"/>
    </row>
    <row r="36" spans="1:26" ht="15" customHeight="1" x14ac:dyDescent="0.2">
      <c r="A36" s="24"/>
      <c r="B36" s="111" t="s">
        <v>181</v>
      </c>
      <c r="C36" s="218">
        <f>N10</f>
        <v>7318590.5640000002</v>
      </c>
      <c r="D36" s="180">
        <v>7264704.1292879013</v>
      </c>
      <c r="E36" s="180">
        <v>7220842.5986966426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6.3930494726265668</v>
      </c>
      <c r="D37" s="229">
        <f>IF(ISERROR($E$30/D38),"NA",$E$30/D38)</f>
        <v>6.4404703499103499</v>
      </c>
      <c r="E37" s="229">
        <f>IF(ISERROR($E$30/E38),"NA",$E$30/E38)</f>
        <v>6.47959166898268</v>
      </c>
      <c r="F37" s="2"/>
      <c r="G37" s="122" t="s">
        <v>185</v>
      </c>
      <c r="H37" s="111"/>
      <c r="I37" s="185">
        <f t="shared" ref="I37:N37" si="10">SUM(I34:I36)</f>
        <v>108456.31200000006</v>
      </c>
      <c r="J37" s="185">
        <f t="shared" si="10"/>
        <v>155697.63599999979</v>
      </c>
      <c r="K37" s="185">
        <f t="shared" si="10"/>
        <v>272038.16900000023</v>
      </c>
      <c r="L37" s="191">
        <f t="shared" si="10"/>
        <v>0</v>
      </c>
      <c r="M37" s="192">
        <f t="shared" si="10"/>
        <v>0</v>
      </c>
      <c r="N37" s="185">
        <f t="shared" si="10"/>
        <v>272038.16900000023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284046.73400000023</v>
      </c>
      <c r="D38" s="180">
        <v>281955.31138890772</v>
      </c>
      <c r="E38" s="180">
        <v>280252.97206499852</v>
      </c>
      <c r="F38" s="2"/>
      <c r="G38" s="128" t="s">
        <v>173</v>
      </c>
      <c r="H38" s="128"/>
      <c r="I38" s="203">
        <f t="shared" ref="I38:N38" si="11">IF(ISERROR(I37/I10),"NA",I37/I10)</f>
        <v>1.4354250645756884E-2</v>
      </c>
      <c r="J38" s="203">
        <f t="shared" si="11"/>
        <v>2.1264748578437114E-2</v>
      </c>
      <c r="K38" s="203">
        <f t="shared" si="11"/>
        <v>3.7170841382786257E-2</v>
      </c>
      <c r="L38" s="209" t="str">
        <f t="shared" si="11"/>
        <v>NA</v>
      </c>
      <c r="M38" s="210" t="str">
        <f t="shared" si="11"/>
        <v>NA</v>
      </c>
      <c r="N38" s="203">
        <f t="shared" si="11"/>
        <v>3.7170841382786257E-2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6.675257481974886</v>
      </c>
      <c r="D39" s="229">
        <f>IF(ISERROR($E$30/D40),"NA",$E$30/D40)</f>
        <v>6.7247716562739841</v>
      </c>
      <c r="E39" s="229">
        <f>IF(ISERROR($E$30/E40),"NA",$E$30/E40)</f>
        <v>6.7656199054484123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272038.16900000023</v>
      </c>
      <c r="D40" s="180">
        <v>270035.16488263267</v>
      </c>
      <c r="E40" s="180">
        <v>268404.79488621879</v>
      </c>
      <c r="F40" s="237"/>
      <c r="G40" s="111" t="s">
        <v>190</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191</v>
      </c>
      <c r="Q40" s="111"/>
      <c r="R40" s="111"/>
      <c r="S40" s="111"/>
      <c r="T40" s="238">
        <f>T35+SUM(T38:T39)</f>
        <v>61.524155</v>
      </c>
      <c r="U40" s="110"/>
      <c r="V40" s="2"/>
      <c r="W40" s="2"/>
      <c r="X40" s="2"/>
      <c r="Y40" s="2"/>
      <c r="Z40" s="2"/>
    </row>
    <row r="41" spans="1:26" ht="12.75" customHeight="1" x14ac:dyDescent="0.2">
      <c r="A41" s="24"/>
      <c r="B41" s="111" t="s">
        <v>192</v>
      </c>
      <c r="C41" s="229">
        <f>IF(ISERROR($E$17/N52),"NA",E17/N52)</f>
        <v>6.0101552942830487</v>
      </c>
      <c r="D41" s="229">
        <f>IF(ISERROR($E$17/D42),"NA",$E$17/D42)</f>
        <v>6.2229756513044503</v>
      </c>
      <c r="E41" s="229">
        <f>IF(ISERROR($E$17/E42),"NA",$E$17/E42)</f>
        <v>6.2607758433412668</v>
      </c>
      <c r="F41" s="2"/>
      <c r="G41" s="122" t="s">
        <v>193</v>
      </c>
      <c r="H41" s="111"/>
      <c r="I41" s="185">
        <f t="shared" ref="I41:N41" si="13">I40+I37</f>
        <v>123015.53900000006</v>
      </c>
      <c r="J41" s="185">
        <f t="shared" si="13"/>
        <v>168317.84099999978</v>
      </c>
      <c r="K41" s="185">
        <f t="shared" si="13"/>
        <v>284046.73400000023</v>
      </c>
      <c r="L41" s="191">
        <f t="shared" si="13"/>
        <v>0</v>
      </c>
      <c r="M41" s="192">
        <f t="shared" si="13"/>
        <v>0</v>
      </c>
      <c r="N41" s="185">
        <f t="shared" si="13"/>
        <v>284046.73400000023</v>
      </c>
      <c r="O41" s="2"/>
      <c r="P41" s="111"/>
      <c r="Q41" s="111"/>
      <c r="R41" s="111"/>
      <c r="S41" s="111"/>
      <c r="T41" s="111"/>
      <c r="U41" s="110"/>
      <c r="V41" s="2"/>
      <c r="W41" s="2"/>
      <c r="X41" s="2"/>
      <c r="Y41" s="2"/>
      <c r="Z41" s="2"/>
    </row>
    <row r="42" spans="1:26" ht="15" customHeight="1" x14ac:dyDescent="0.2">
      <c r="A42" s="24"/>
      <c r="B42" s="111" t="s">
        <v>181</v>
      </c>
      <c r="C42" s="213">
        <f>N52</f>
        <v>3527.3630982822961</v>
      </c>
      <c r="D42" s="201">
        <v>3406.7303470094871</v>
      </c>
      <c r="E42" s="201">
        <v>3386.1618001461511</v>
      </c>
      <c r="F42" s="2"/>
      <c r="G42" s="128" t="s">
        <v>173</v>
      </c>
      <c r="H42" s="128"/>
      <c r="I42" s="203">
        <f t="shared" ref="I42:N42" si="14">IF(ISERROR(I41/I10),"NA",I41/I10)</f>
        <v>1.6281172091937638E-2</v>
      </c>
      <c r="J42" s="203">
        <f t="shared" si="14"/>
        <v>2.2988380954803673E-2</v>
      </c>
      <c r="K42" s="203">
        <f t="shared" si="14"/>
        <v>3.8811671662194139E-2</v>
      </c>
      <c r="L42" s="209" t="str">
        <f t="shared" si="14"/>
        <v>NA</v>
      </c>
      <c r="M42" s="210" t="str">
        <f t="shared" si="14"/>
        <v>NA</v>
      </c>
      <c r="N42" s="203">
        <f t="shared" si="14"/>
        <v>3.8811671662194139E-2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58066.703000000074</v>
      </c>
      <c r="J44" s="218">
        <f t="shared" si="15"/>
        <v>109854.60499999981</v>
      </c>
      <c r="K44" s="218">
        <f t="shared" si="15"/>
        <v>217018.03400000022</v>
      </c>
      <c r="L44" s="227">
        <f t="shared" si="15"/>
        <v>0</v>
      </c>
      <c r="M44" s="228">
        <f t="shared" si="15"/>
        <v>0</v>
      </c>
      <c r="N44" s="218">
        <f t="shared" si="15"/>
        <v>217018.03400000022</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0.15375469854883864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0.18234336337275348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9.3071089740432947E-2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58066.703000000074</v>
      </c>
      <c r="J49" s="202">
        <f t="shared" si="19"/>
        <v>109854.60499999981</v>
      </c>
      <c r="K49" s="202">
        <f t="shared" si="19"/>
        <v>217018.03400000022</v>
      </c>
      <c r="L49" s="207">
        <f t="shared" si="19"/>
        <v>0</v>
      </c>
      <c r="M49" s="208">
        <f t="shared" si="19"/>
        <v>0</v>
      </c>
      <c r="N49" s="202">
        <f t="shared" si="19"/>
        <v>217018.03400000022</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7.6851590623395333E-3</v>
      </c>
      <c r="J50" s="203">
        <f t="shared" si="20"/>
        <v>1.5003635350690358E-2</v>
      </c>
      <c r="K50" s="203">
        <f t="shared" si="20"/>
        <v>2.9652981964520268E-2</v>
      </c>
      <c r="L50" s="209" t="str">
        <f t="shared" si="20"/>
        <v>NA</v>
      </c>
      <c r="M50" s="210" t="str">
        <f t="shared" si="20"/>
        <v>NA</v>
      </c>
      <c r="N50" s="203">
        <f t="shared" si="20"/>
        <v>2.9652981964520268E-2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2.0135016197721871</v>
      </c>
      <c r="F52" s="2"/>
      <c r="G52" s="111" t="s">
        <v>219</v>
      </c>
      <c r="H52" s="111"/>
      <c r="I52" s="213">
        <f t="shared" ref="I52:N52" si="21">IF(ISERROR(I49/I24),0,I49/I24)</f>
        <v>943.80334033031534</v>
      </c>
      <c r="J52" s="213">
        <f t="shared" si="21"/>
        <v>1785.5524387128894</v>
      </c>
      <c r="K52" s="213">
        <f t="shared" si="21"/>
        <v>3527.3630982822961</v>
      </c>
      <c r="L52" s="214">
        <f t="shared" si="21"/>
        <v>0</v>
      </c>
      <c r="M52" s="215">
        <f t="shared" si="21"/>
        <v>0</v>
      </c>
      <c r="N52" s="213">
        <f t="shared" si="21"/>
        <v>3527.3630982822961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1.8010759982897731</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15.828911710102185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13.212052847606882</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15.159717199490338</v>
      </c>
      <c r="F56" s="2"/>
      <c r="G56" s="111" t="s">
        <v>190</v>
      </c>
      <c r="H56" s="111"/>
      <c r="I56" s="182">
        <v>14559.227000000001</v>
      </c>
      <c r="J56" s="182">
        <v>12620.205</v>
      </c>
      <c r="K56" s="182">
        <v>12008.565000000001</v>
      </c>
      <c r="L56" s="252">
        <v>0</v>
      </c>
      <c r="M56" s="253">
        <v>0</v>
      </c>
      <c r="N56" s="195">
        <f>K56+M56-L56</f>
        <v>12008.565000000001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1.9269214461807532E-3</v>
      </c>
      <c r="J57" s="255">
        <f t="shared" si="22"/>
        <v>1.7236323763665578E-3</v>
      </c>
      <c r="K57" s="255">
        <f t="shared" si="22"/>
        <v>1.6408302794078808E-3</v>
      </c>
      <c r="L57" s="256" t="str">
        <f t="shared" si="22"/>
        <v>NA</v>
      </c>
      <c r="M57" s="257" t="str">
        <f t="shared" si="22"/>
        <v>NA</v>
      </c>
      <c r="N57" s="255">
        <f t="shared" si="22"/>
        <v>1.6408302794078808E-3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376025.40399999998</v>
      </c>
      <c r="J58" s="182">
        <v>77014.824999999997</v>
      </c>
      <c r="K58" s="182">
        <v>46959.021999999997</v>
      </c>
      <c r="L58" s="186">
        <v>0</v>
      </c>
      <c r="M58" s="187">
        <v>0</v>
      </c>
      <c r="N58" s="195">
        <f>K58+M58-L58</f>
        <v>46959.021999999997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4.9767162451439341E-2</v>
      </c>
      <c r="J59" s="255">
        <f t="shared" si="23"/>
        <v>1.0518469852922721E-2</v>
      </c>
      <c r="K59" s="255">
        <f t="shared" si="23"/>
        <v>6.4164023918745344E-3</v>
      </c>
      <c r="L59" s="258" t="str">
        <f t="shared" si="23"/>
        <v>NA</v>
      </c>
      <c r="M59" s="259" t="str">
        <f t="shared" si="23"/>
        <v>NA</v>
      </c>
      <c r="N59" s="255">
        <f t="shared" si="23"/>
        <v>6.4164023918745344E-3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-4.4732668913161078E-4</v>
      </c>
      <c r="D61" s="203">
        <f>IF(ISERROR(K41/J41-1),0,K41/J41-1)</f>
        <v>0.68756165307515205</v>
      </c>
      <c r="E61" s="203">
        <f>IF(ISERROR(K52/J52-1),0,K52/J52-1)</f>
        <v>0.97550238335480421</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-1.5815384053424197E-2</v>
      </c>
      <c r="D62" s="203">
        <f>IF(ISERROR((K41/I41)^(1/2)-1),0,(K41/I41)^(1/2)-1)</f>
        <v>0.5195497139038705</v>
      </c>
      <c r="E62" s="203">
        <f>IF(ISERROR((K52/I52)^(1/2)-1),0,(K52/I52)^(1/2)-1)</f>
        <v>0.93323357285446362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-7.3629525030632914E-3</v>
      </c>
      <c r="D64" s="203">
        <f>IF(ISERROR(D38/K41-1),0,D38/K41-1)</f>
        <v>-7.3629525030641796E-3</v>
      </c>
      <c r="E64" s="203">
        <f>IF(ISERROR(D42/K52-1),0,D42/K52-1)</f>
        <v>-3.419913060029256E-2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-6.700507821802093E-3</v>
      </c>
      <c r="D65" s="203">
        <f>IF(ISERROR((E38/K41)^(1/2)-1),0,(E38/K41)^(1/2)-1)</f>
        <v>-6.7005078218024261E-3</v>
      </c>
      <c r="E65" s="203">
        <f>IF(ISERROR((E42/K52)^(1/2)-1),0,(E42/K52)^(1/2)-1)</f>
        <v>-2.0219550236847517E-2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143281.86199999999</v>
      </c>
      <c r="T8" s="180">
        <v>135320.97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1546619.777</v>
      </c>
      <c r="T9" s="182">
        <v>1432902.1869999999</v>
      </c>
      <c r="U9" s="110"/>
      <c r="V9" s="2"/>
      <c r="W9" s="2"/>
      <c r="X9" s="2"/>
      <c r="Y9" s="2"/>
      <c r="Z9" s="2"/>
    </row>
    <row r="10" spans="1:26" ht="15" customHeight="1" x14ac:dyDescent="0.2">
      <c r="A10" s="24"/>
      <c r="B10" s="111" t="s">
        <v>118</v>
      </c>
      <c r="C10" s="111"/>
      <c r="D10" s="121"/>
      <c r="E10" s="150">
        <v>46022</v>
      </c>
      <c r="F10" s="2"/>
      <c r="G10" s="122" t="s">
        <v>34</v>
      </c>
      <c r="H10" s="122"/>
      <c r="I10" s="180">
        <v>13701576.035</v>
      </c>
      <c r="J10" s="180">
        <v>8929794.8120000008</v>
      </c>
      <c r="K10" s="180">
        <v>7010299.4939999999</v>
      </c>
      <c r="L10" s="183">
        <v>0</v>
      </c>
      <c r="M10" s="184">
        <v>0</v>
      </c>
      <c r="N10" s="185">
        <f>K10+M10-L10</f>
        <v>7010299.4939999999</v>
      </c>
      <c r="O10" s="2"/>
      <c r="P10" s="111" t="s">
        <v>119</v>
      </c>
      <c r="Q10" s="123"/>
      <c r="R10" s="123"/>
      <c r="S10" s="182">
        <v>627737.11899999995</v>
      </c>
      <c r="T10" s="182">
        <v>411191.50199999998</v>
      </c>
      <c r="U10" s="110"/>
      <c r="V10" s="2"/>
      <c r="W10" s="2"/>
      <c r="X10" s="2"/>
      <c r="Y10" s="2"/>
      <c r="Z10" s="2"/>
    </row>
    <row r="11" spans="1:26" ht="15" customHeight="1" x14ac:dyDescent="0.2">
      <c r="A11" s="24"/>
      <c r="B11" s="111" t="s">
        <v>120</v>
      </c>
      <c r="C11" s="111"/>
      <c r="D11" s="117"/>
      <c r="E11" s="149" t="s">
        <v>121</v>
      </c>
      <c r="F11" s="2"/>
      <c r="G11" s="111" t="s">
        <v>122</v>
      </c>
      <c r="H11" s="111"/>
      <c r="I11" s="182">
        <v>13640006.592</v>
      </c>
      <c r="J11" s="182">
        <v>8924084.7139999997</v>
      </c>
      <c r="K11" s="182">
        <v>7008942.0410000002</v>
      </c>
      <c r="L11" s="186">
        <v>0</v>
      </c>
      <c r="M11" s="187">
        <v>0</v>
      </c>
      <c r="N11" s="188">
        <f>K11+M11-L11</f>
        <v>7008942.0410000002</v>
      </c>
      <c r="O11" s="189"/>
      <c r="P11" s="111" t="s">
        <v>123</v>
      </c>
      <c r="Q11" s="190"/>
      <c r="R11" s="190"/>
      <c r="S11" s="182">
        <v>769020.6109999998</v>
      </c>
      <c r="T11" s="182">
        <v>712769.12600000005</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61569.44299999997</v>
      </c>
      <c r="J12" s="185">
        <f t="shared" si="0"/>
        <v>5710.0980000011623</v>
      </c>
      <c r="K12" s="185">
        <f t="shared" si="0"/>
        <v>1357.4529999997467</v>
      </c>
      <c r="L12" s="191">
        <f t="shared" si="0"/>
        <v>0</v>
      </c>
      <c r="M12" s="192">
        <f t="shared" si="0"/>
        <v>0</v>
      </c>
      <c r="N12" s="185">
        <f t="shared" si="0"/>
        <v>1357.4529999997467</v>
      </c>
      <c r="O12" s="2"/>
      <c r="P12" s="124" t="s">
        <v>126</v>
      </c>
      <c r="Q12" s="120"/>
      <c r="R12" s="120"/>
      <c r="S12" s="185">
        <f>SUM(S8:S11)</f>
        <v>3086659.3689999999</v>
      </c>
      <c r="T12" s="185">
        <f>SUM(T8:T11)</f>
        <v>2692183.7850000001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746065.51199999999</v>
      </c>
      <c r="J13" s="182">
        <v>-3555.5180000000109</v>
      </c>
      <c r="K13" s="182">
        <v>-17819.337</v>
      </c>
      <c r="L13" s="186">
        <v>0</v>
      </c>
      <c r="M13" s="187">
        <v>0</v>
      </c>
      <c r="N13" s="195">
        <f>K13+M13-L13</f>
        <v>-17819.337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-37277.004999999888</v>
      </c>
      <c r="J14" s="197">
        <v>-214820.32500000001</v>
      </c>
      <c r="K14" s="197">
        <v>-377805.08199999999</v>
      </c>
      <c r="L14" s="198">
        <v>0</v>
      </c>
      <c r="M14" s="199">
        <v>0</v>
      </c>
      <c r="N14" s="200">
        <f>K14+M14-L14</f>
        <v>-377805.08199999999</v>
      </c>
      <c r="O14" s="2"/>
      <c r="P14" s="111" t="s">
        <v>131</v>
      </c>
      <c r="Q14" s="123"/>
      <c r="R14" s="123"/>
      <c r="S14" s="182">
        <v>1206287.53</v>
      </c>
      <c r="T14" s="182">
        <v>865924.04700000002</v>
      </c>
      <c r="U14" s="110"/>
      <c r="V14" s="2"/>
      <c r="W14" s="2"/>
      <c r="X14" s="2"/>
      <c r="Y14" s="2"/>
      <c r="Z14" s="2"/>
    </row>
    <row r="15" spans="1:26" ht="12.75" customHeight="1" x14ac:dyDescent="0.2">
      <c r="A15" s="24"/>
      <c r="B15" s="2"/>
      <c r="C15" s="2"/>
      <c r="D15" s="2"/>
      <c r="E15" s="2"/>
      <c r="F15" s="2"/>
      <c r="G15" s="122" t="s">
        <v>132</v>
      </c>
      <c r="H15" s="125"/>
      <c r="I15" s="185">
        <f t="shared" ref="I15:N15" si="1">I12-SUM(I13:I14)</f>
        <v>-647219.06400000013</v>
      </c>
      <c r="J15" s="185">
        <f t="shared" si="1"/>
        <v>224085.94100000118</v>
      </c>
      <c r="K15" s="185">
        <f t="shared" si="1"/>
        <v>396981.87199999974</v>
      </c>
      <c r="L15" s="191">
        <f t="shared" si="1"/>
        <v>0</v>
      </c>
      <c r="M15" s="192">
        <f t="shared" si="1"/>
        <v>0</v>
      </c>
      <c r="N15" s="185">
        <f t="shared" si="1"/>
        <v>396981.87199999974</v>
      </c>
      <c r="O15" s="2"/>
      <c r="P15" s="111" t="s">
        <v>133</v>
      </c>
      <c r="Q15" s="120"/>
      <c r="R15" s="120"/>
      <c r="S15" s="182">
        <v>103782.776</v>
      </c>
      <c r="T15" s="182">
        <v>103252.848</v>
      </c>
      <c r="U15" s="110"/>
      <c r="V15" s="2"/>
      <c r="W15" s="2"/>
      <c r="X15" s="2"/>
      <c r="Y15" s="2"/>
      <c r="Z15" s="2"/>
    </row>
    <row r="16" spans="1:26" ht="15" customHeight="1" x14ac:dyDescent="0.2">
      <c r="A16" s="24"/>
      <c r="B16" s="271" t="s">
        <v>134</v>
      </c>
      <c r="C16" s="269"/>
      <c r="D16" s="269"/>
      <c r="E16" s="269"/>
      <c r="F16" s="2"/>
      <c r="G16" s="111" t="s">
        <v>135</v>
      </c>
      <c r="H16" s="125"/>
      <c r="I16" s="182">
        <v>265581.76899999997</v>
      </c>
      <c r="J16" s="182">
        <v>176410.86600000001</v>
      </c>
      <c r="K16" s="182">
        <v>148362.86199999999</v>
      </c>
      <c r="L16" s="186">
        <v>0</v>
      </c>
      <c r="M16" s="187">
        <v>0</v>
      </c>
      <c r="N16" s="188">
        <f>K16+M16-L16</f>
        <v>148362.86199999999</v>
      </c>
      <c r="O16" s="2"/>
      <c r="P16" s="111" t="s">
        <v>136</v>
      </c>
      <c r="Q16" s="123"/>
      <c r="R16" s="123"/>
      <c r="S16" s="182">
        <v>381452.87300000043</v>
      </c>
      <c r="T16" s="182">
        <v>792349.196</v>
      </c>
      <c r="U16" s="110"/>
      <c r="V16" s="2"/>
      <c r="W16" s="2"/>
      <c r="X16" s="2"/>
      <c r="Y16" s="2"/>
      <c r="Z16" s="2"/>
    </row>
    <row r="17" spans="1:26" ht="15" customHeight="1" x14ac:dyDescent="0.2">
      <c r="A17" s="24"/>
      <c r="B17" s="111" t="s">
        <v>137</v>
      </c>
      <c r="C17" s="111"/>
      <c r="D17" s="126">
        <v>0</v>
      </c>
      <c r="E17" s="201">
        <v>10700</v>
      </c>
      <c r="F17" s="2"/>
      <c r="G17" s="122" t="s">
        <v>138</v>
      </c>
      <c r="H17" s="111"/>
      <c r="I17" s="185">
        <f t="shared" ref="I17:N17" si="2">I15-SUM(I16)</f>
        <v>-912800.8330000001</v>
      </c>
      <c r="J17" s="185">
        <f t="shared" si="2"/>
        <v>47675.075000001176</v>
      </c>
      <c r="K17" s="185">
        <f t="shared" si="2"/>
        <v>248619.00999999975</v>
      </c>
      <c r="L17" s="191">
        <f t="shared" si="2"/>
        <v>0</v>
      </c>
      <c r="M17" s="192">
        <f t="shared" si="2"/>
        <v>0</v>
      </c>
      <c r="N17" s="185">
        <f t="shared" si="2"/>
        <v>248619.00999999975</v>
      </c>
      <c r="O17" s="2"/>
      <c r="P17" s="124" t="s">
        <v>139</v>
      </c>
      <c r="Q17" s="120"/>
      <c r="R17" s="120"/>
      <c r="S17" s="202">
        <f>SUM(S12:S16)</f>
        <v>4778182.5480000004</v>
      </c>
      <c r="T17" s="202">
        <f>SUM(T12:T16)</f>
        <v>4453709.8760000002</v>
      </c>
      <c r="U17" s="110"/>
      <c r="V17" s="2"/>
      <c r="W17" s="2"/>
      <c r="X17" s="2"/>
      <c r="Y17" s="2"/>
      <c r="Z17" s="2"/>
    </row>
    <row r="18" spans="1:26" ht="12.75" customHeight="1" x14ac:dyDescent="0.2">
      <c r="A18" s="127"/>
      <c r="B18" s="128" t="s">
        <v>140</v>
      </c>
      <c r="C18" s="128"/>
      <c r="D18" s="129"/>
      <c r="E18" s="203">
        <f>+IF(ISERROR(E17/E19),"NA",E17/E19)</f>
        <v>0.63313609467455623</v>
      </c>
      <c r="F18" s="2"/>
      <c r="G18" s="111" t="s">
        <v>141</v>
      </c>
      <c r="H18" s="111"/>
      <c r="I18" s="182">
        <v>12498.209000000001</v>
      </c>
      <c r="J18" s="182">
        <v>35600.902000000002</v>
      </c>
      <c r="K18" s="182">
        <v>51064.892</v>
      </c>
      <c r="L18" s="186">
        <v>0</v>
      </c>
      <c r="M18" s="187">
        <v>0</v>
      </c>
      <c r="N18" s="195">
        <f>K18+M18-L18</f>
        <v>51064.892</v>
      </c>
      <c r="O18" s="2"/>
      <c r="P18" s="111"/>
      <c r="Q18" s="111"/>
      <c r="R18" s="111"/>
      <c r="S18" s="111"/>
      <c r="T18" s="111"/>
      <c r="U18" s="110"/>
      <c r="V18" s="2"/>
      <c r="W18" s="2"/>
      <c r="X18" s="2"/>
      <c r="Y18" s="2"/>
      <c r="Z18" s="2"/>
    </row>
    <row r="19" spans="1:26" ht="15" customHeight="1" x14ac:dyDescent="0.2">
      <c r="A19" s="24"/>
      <c r="B19" s="111" t="s">
        <v>142</v>
      </c>
      <c r="C19" s="111"/>
      <c r="D19" s="204">
        <v>0</v>
      </c>
      <c r="E19" s="205">
        <v>16900</v>
      </c>
      <c r="F19" s="2"/>
      <c r="G19" s="111" t="s">
        <v>143</v>
      </c>
      <c r="H19" s="111"/>
      <c r="I19" s="197">
        <v>-40009.963000000003</v>
      </c>
      <c r="J19" s="197">
        <v>-17165.616000000002</v>
      </c>
      <c r="K19" s="197">
        <v>17436.973000000002</v>
      </c>
      <c r="L19" s="198">
        <v>0</v>
      </c>
      <c r="M19" s="199">
        <v>0</v>
      </c>
      <c r="N19" s="206">
        <f>K19+M19-L19</f>
        <v>17436.973000000002</v>
      </c>
      <c r="O19" s="2"/>
      <c r="P19" s="111" t="s">
        <v>144</v>
      </c>
      <c r="Q19" s="123"/>
      <c r="R19" s="123"/>
      <c r="S19" s="182">
        <v>1420521.5379999999</v>
      </c>
      <c r="T19" s="182">
        <v>1196979.0900000001</v>
      </c>
      <c r="U19" s="110"/>
      <c r="V19" s="2"/>
      <c r="W19" s="2"/>
      <c r="X19" s="2"/>
      <c r="Y19" s="2"/>
      <c r="Z19" s="2"/>
    </row>
    <row r="20" spans="1:26" ht="15" customHeight="1" x14ac:dyDescent="0.2">
      <c r="A20" s="24"/>
      <c r="B20" s="111" t="s">
        <v>145</v>
      </c>
      <c r="C20" s="111"/>
      <c r="D20" s="204">
        <v>0</v>
      </c>
      <c r="E20" s="205">
        <v>10150</v>
      </c>
      <c r="F20" s="2"/>
      <c r="G20" s="111" t="s">
        <v>146</v>
      </c>
      <c r="H20" s="111"/>
      <c r="I20" s="197">
        <v>0</v>
      </c>
      <c r="J20" s="197">
        <v>0</v>
      </c>
      <c r="K20" s="197">
        <v>0</v>
      </c>
      <c r="L20" s="198">
        <v>0</v>
      </c>
      <c r="M20" s="199">
        <v>0</v>
      </c>
      <c r="N20" s="200">
        <f>K20+M20-L20</f>
        <v>0</v>
      </c>
      <c r="O20" s="2"/>
      <c r="P20" s="111" t="s">
        <v>147</v>
      </c>
      <c r="Q20" s="190"/>
      <c r="R20" s="190"/>
      <c r="S20" s="182">
        <v>29913.393</v>
      </c>
      <c r="T20" s="182">
        <v>102372.05</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-885289.07900000014</v>
      </c>
      <c r="J21" s="202">
        <f t="shared" si="3"/>
        <v>29239.789000001176</v>
      </c>
      <c r="K21" s="202">
        <f t="shared" si="3"/>
        <v>180117.14499999973</v>
      </c>
      <c r="L21" s="207">
        <f t="shared" si="3"/>
        <v>0</v>
      </c>
      <c r="M21" s="208">
        <f t="shared" si="3"/>
        <v>0</v>
      </c>
      <c r="N21" s="202">
        <f t="shared" si="3"/>
        <v>180117.14499999973</v>
      </c>
      <c r="O21" s="2"/>
      <c r="P21" s="111" t="s">
        <v>150</v>
      </c>
      <c r="Q21" s="120"/>
      <c r="R21" s="120"/>
      <c r="S21" s="182">
        <v>2258849.0070000002</v>
      </c>
      <c r="T21" s="182">
        <v>2080627.328</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-1.3692153368137866E-2</v>
      </c>
      <c r="J22" s="203">
        <f t="shared" si="4"/>
        <v>0.74674034597741323</v>
      </c>
      <c r="K22" s="203">
        <f t="shared" si="4"/>
        <v>0.20539415710809905</v>
      </c>
      <c r="L22" s="209" t="str">
        <f t="shared" si="4"/>
        <v>NA</v>
      </c>
      <c r="M22" s="210" t="str">
        <f t="shared" si="4"/>
        <v>NA</v>
      </c>
      <c r="N22" s="203">
        <f t="shared" si="4"/>
        <v>0.20539415710809905</v>
      </c>
      <c r="O22" s="2"/>
      <c r="P22" s="124" t="s">
        <v>152</v>
      </c>
      <c r="Q22" s="123"/>
      <c r="R22" s="123"/>
      <c r="S22" s="185">
        <f>SUM(S19:S21)</f>
        <v>3709283.9380000001</v>
      </c>
      <c r="T22" s="185">
        <f>SUM(T19:T21)</f>
        <v>3379978.4680000003</v>
      </c>
      <c r="U22" s="110"/>
      <c r="V22" s="2"/>
      <c r="W22" s="2"/>
      <c r="X22" s="2"/>
      <c r="Y22" s="2"/>
      <c r="Z22" s="2"/>
    </row>
    <row r="23" spans="1:26" ht="15" customHeight="1" x14ac:dyDescent="0.2">
      <c r="A23" s="24"/>
      <c r="B23" s="111" t="s">
        <v>153</v>
      </c>
      <c r="C23" s="111"/>
      <c r="D23" s="111"/>
      <c r="E23" s="211">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787593.15590000001</v>
      </c>
      <c r="F24" s="2"/>
      <c r="G24" s="111" t="s">
        <v>155</v>
      </c>
      <c r="H24" s="111"/>
      <c r="I24" s="182">
        <v>73.606836999999999</v>
      </c>
      <c r="J24" s="182">
        <v>73.606836999999999</v>
      </c>
      <c r="K24" s="182">
        <v>73.606836999999999</v>
      </c>
      <c r="L24" s="186">
        <v>0</v>
      </c>
      <c r="M24" s="187">
        <v>0</v>
      </c>
      <c r="N24" s="195">
        <f>+IF(ISERROR(K24+M24-L24),"NA",K24+M24-L24)</f>
        <v>73.606836999999999</v>
      </c>
      <c r="O24" s="2"/>
      <c r="P24" s="133" t="s">
        <v>156</v>
      </c>
      <c r="Q24" s="120"/>
      <c r="R24" s="120"/>
      <c r="S24" s="182">
        <v>2390555.298</v>
      </c>
      <c r="T24" s="182">
        <v>2049199.9069999999</v>
      </c>
      <c r="U24" s="110"/>
      <c r="V24" s="2"/>
      <c r="W24" s="2"/>
      <c r="X24" s="2"/>
      <c r="Y24" s="2"/>
      <c r="Z24" s="2"/>
    </row>
    <row r="25" spans="1:26" ht="15" customHeight="1" x14ac:dyDescent="0.2">
      <c r="A25" s="24"/>
      <c r="B25" s="111"/>
      <c r="C25" s="111"/>
      <c r="D25" s="111"/>
      <c r="E25" s="111"/>
      <c r="F25" s="2"/>
      <c r="G25" s="111" t="s">
        <v>157</v>
      </c>
      <c r="H25" s="111"/>
      <c r="I25" s="213">
        <f>IF(ISERROR(I21/I24),"NA",I21/I24)</f>
        <v>-12027.266964344632</v>
      </c>
      <c r="J25" s="213">
        <f>+IF(ISERROR(J21/J24),"NA",J21/J24)</f>
        <v>397.24284036279369</v>
      </c>
      <c r="K25" s="213">
        <f>+IF(ISERROR(K21/K24),"NA",K21/K24)</f>
        <v>2447.0165047303926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2049199.9069999999</v>
      </c>
      <c r="F26" s="2"/>
      <c r="G26" s="2"/>
      <c r="H26" s="2"/>
      <c r="I26" s="2"/>
      <c r="J26" s="2"/>
      <c r="K26" s="2"/>
      <c r="L26" s="2"/>
      <c r="M26" s="2"/>
      <c r="N26" s="2"/>
      <c r="O26" s="2"/>
      <c r="P26" s="124" t="s">
        <v>160</v>
      </c>
      <c r="Q26" s="111"/>
      <c r="R26" s="111"/>
      <c r="S26" s="185">
        <f>S22+SUM(S24:S25)</f>
        <v>6099839.2359999996</v>
      </c>
      <c r="T26" s="185">
        <f>T22+SUM(T24:T25)</f>
        <v>5429178.375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17436.973000000002</v>
      </c>
      <c r="F28" s="2"/>
      <c r="G28" s="271" t="s">
        <v>163</v>
      </c>
      <c r="H28" s="269"/>
      <c r="I28" s="269"/>
      <c r="J28" s="269"/>
      <c r="K28" s="269"/>
      <c r="L28" s="269"/>
      <c r="M28" s="269"/>
      <c r="N28" s="269"/>
      <c r="O28" s="2"/>
      <c r="P28" s="111" t="s">
        <v>143</v>
      </c>
      <c r="Q28" s="136"/>
      <c r="R28" s="136"/>
      <c r="S28" s="182">
        <v>-17165.616000000002</v>
      </c>
      <c r="T28" s="182">
        <v>17436.973000000002</v>
      </c>
      <c r="U28" s="110"/>
      <c r="V28" s="2"/>
      <c r="W28" s="2"/>
      <c r="X28" s="2"/>
      <c r="Y28" s="2"/>
      <c r="Z28" s="2"/>
    </row>
    <row r="29" spans="1:26" ht="15" customHeight="1" x14ac:dyDescent="0.2">
      <c r="A29" s="24"/>
      <c r="B29" s="111" t="s">
        <v>164</v>
      </c>
      <c r="C29" s="111"/>
      <c r="D29" s="111"/>
      <c r="E29" s="217">
        <f>-T8</f>
        <v>-135320.97</v>
      </c>
      <c r="F29" s="2"/>
      <c r="G29" s="111" t="s">
        <v>165</v>
      </c>
      <c r="H29" s="111"/>
      <c r="I29" s="218">
        <f t="shared" ref="I29:N29" si="5">I12</f>
        <v>61569.44299999997</v>
      </c>
      <c r="J29" s="218">
        <f t="shared" si="5"/>
        <v>5710.0980000011623</v>
      </c>
      <c r="K29" s="218">
        <f t="shared" si="5"/>
        <v>1357.4529999997467</v>
      </c>
      <c r="L29" s="219">
        <f t="shared" si="5"/>
        <v>0</v>
      </c>
      <c r="M29" s="220">
        <f t="shared" si="5"/>
        <v>0</v>
      </c>
      <c r="N29" s="218">
        <f t="shared" si="5"/>
        <v>1357.4529999997467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2718909.0658999998</v>
      </c>
      <c r="F30" s="221"/>
      <c r="G30" s="111" t="s">
        <v>168</v>
      </c>
      <c r="H30" s="111"/>
      <c r="I30" s="223">
        <v>0</v>
      </c>
      <c r="J30" s="223">
        <v>0</v>
      </c>
      <c r="K30" s="223">
        <v>0</v>
      </c>
      <c r="L30" s="186">
        <v>0</v>
      </c>
      <c r="M30" s="187">
        <v>0</v>
      </c>
      <c r="N30" s="188">
        <f>K30+M30-L30</f>
        <v>0</v>
      </c>
      <c r="O30" s="2"/>
      <c r="P30" s="133" t="s">
        <v>169</v>
      </c>
      <c r="Q30" s="224"/>
      <c r="R30" s="224"/>
      <c r="S30" s="182">
        <v>809844.01300000004</v>
      </c>
      <c r="T30" s="182">
        <v>1007398.1310000001</v>
      </c>
      <c r="U30" s="2"/>
      <c r="V30" s="2"/>
      <c r="W30" s="2"/>
      <c r="X30" s="2"/>
      <c r="Y30" s="2"/>
      <c r="Z30" s="2"/>
    </row>
    <row r="31" spans="1:26" ht="15" customHeight="1" x14ac:dyDescent="0.2">
      <c r="A31" s="24"/>
      <c r="B31" s="2"/>
      <c r="C31" s="2"/>
      <c r="D31" s="2"/>
      <c r="E31" s="2"/>
      <c r="F31" s="221"/>
      <c r="G31" s="122" t="s">
        <v>170</v>
      </c>
      <c r="H31" s="111"/>
      <c r="I31" s="185">
        <f t="shared" ref="I31:N31" si="6">SUM(I29:I30)</f>
        <v>61569.44299999997</v>
      </c>
      <c r="J31" s="185">
        <f t="shared" si="6"/>
        <v>5710.0980000011623</v>
      </c>
      <c r="K31" s="185">
        <f t="shared" si="6"/>
        <v>1357.4529999997467</v>
      </c>
      <c r="L31" s="191">
        <f t="shared" si="6"/>
        <v>0</v>
      </c>
      <c r="M31" s="192">
        <f t="shared" si="6"/>
        <v>0</v>
      </c>
      <c r="N31" s="185">
        <f t="shared" si="6"/>
        <v>1357.4529999997467</v>
      </c>
      <c r="O31" s="2"/>
      <c r="P31" s="124" t="s">
        <v>171</v>
      </c>
      <c r="Q31" s="224"/>
      <c r="R31" s="224"/>
      <c r="S31" s="202">
        <f>S26+SUM(S28:S30)</f>
        <v>6892517.6329999994</v>
      </c>
      <c r="T31" s="202">
        <f>T26+SUM(T28:T30)</f>
        <v>6454013.4790000003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4.4936029871836545E-3</v>
      </c>
      <c r="J32" s="203">
        <f t="shared" si="7"/>
        <v>6.394433601461751E-4</v>
      </c>
      <c r="K32" s="203">
        <f t="shared" si="7"/>
        <v>1.936369482019375E-4</v>
      </c>
      <c r="L32" s="209" t="str">
        <f t="shared" si="7"/>
        <v>NA</v>
      </c>
      <c r="M32" s="210" t="str">
        <f t="shared" si="7"/>
        <v>NA</v>
      </c>
      <c r="N32" s="203">
        <f t="shared" si="7"/>
        <v>1.936369482019375E-4</v>
      </c>
      <c r="O32" s="2"/>
      <c r="P32" s="128" t="s">
        <v>174</v>
      </c>
      <c r="Q32" s="137"/>
      <c r="R32" s="137"/>
      <c r="S32" s="225">
        <f>S17-S31</f>
        <v>-2114335.084999999</v>
      </c>
      <c r="T32" s="225">
        <f>T17-T31</f>
        <v>-2000303.6030000001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-647219.06400000013</v>
      </c>
      <c r="J34" s="218">
        <f t="shared" si="8"/>
        <v>224085.94100000118</v>
      </c>
      <c r="K34" s="218">
        <f t="shared" si="8"/>
        <v>396981.87199999974</v>
      </c>
      <c r="L34" s="227">
        <f t="shared" si="8"/>
        <v>0</v>
      </c>
      <c r="M34" s="228">
        <f t="shared" si="8"/>
        <v>0</v>
      </c>
      <c r="N34" s="218">
        <f t="shared" si="8"/>
        <v>396981.87199999974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0.38784492277784555</v>
      </c>
      <c r="D35" s="229">
        <f>IF(ISERROR($E$30/D36),"NA",$E$30/D36)</f>
        <v>0.39984012657509849</v>
      </c>
      <c r="E35" s="229">
        <f>IF(ISERROR($E$30/E36),"NA",$E$30/E36)</f>
        <v>0.40800012915826378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73.606836999999999</v>
      </c>
      <c r="U35" s="110"/>
      <c r="V35" s="2"/>
      <c r="W35" s="2"/>
      <c r="X35" s="2"/>
      <c r="Y35" s="2"/>
      <c r="Z35" s="2"/>
    </row>
    <row r="36" spans="1:26" ht="15" customHeight="1" x14ac:dyDescent="0.2">
      <c r="A36" s="24"/>
      <c r="B36" s="111" t="s">
        <v>181</v>
      </c>
      <c r="C36" s="218">
        <f>N10</f>
        <v>7010299.4939999999</v>
      </c>
      <c r="D36" s="180">
        <v>6799990.5091800001</v>
      </c>
      <c r="E36" s="180">
        <v>6663990.6989964005</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5.5838970899310034</v>
      </c>
      <c r="D37" s="229">
        <f>IF(ISERROR($E$30/D38),"NA",$E$30/D38)</f>
        <v>5.7565949380731976</v>
      </c>
      <c r="E37" s="229">
        <f>IF(ISERROR($E$30/E38),"NA",$E$30/E38)</f>
        <v>5.8740764674216299</v>
      </c>
      <c r="F37" s="2"/>
      <c r="G37" s="122" t="s">
        <v>185</v>
      </c>
      <c r="H37" s="111"/>
      <c r="I37" s="185">
        <f t="shared" ref="I37:N37" si="10">SUM(I34:I36)</f>
        <v>-647219.06400000013</v>
      </c>
      <c r="J37" s="185">
        <f t="shared" si="10"/>
        <v>224085.94100000118</v>
      </c>
      <c r="K37" s="185">
        <f t="shared" si="10"/>
        <v>396981.87199999974</v>
      </c>
      <c r="L37" s="191">
        <f t="shared" si="10"/>
        <v>0</v>
      </c>
      <c r="M37" s="192">
        <f t="shared" si="10"/>
        <v>0</v>
      </c>
      <c r="N37" s="185">
        <f t="shared" si="10"/>
        <v>396981.87199999974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486919.62299999973</v>
      </c>
      <c r="D38" s="180">
        <v>472312.0343099999</v>
      </c>
      <c r="E38" s="180">
        <v>462865.79362379992</v>
      </c>
      <c r="F38" s="2"/>
      <c r="G38" s="128" t="s">
        <v>173</v>
      </c>
      <c r="H38" s="128"/>
      <c r="I38" s="203">
        <f t="shared" ref="I38:N38" si="11">IF(ISERROR(I37/I10),"NA",I37/I10)</f>
        <v>-4.7236833364768471E-2</v>
      </c>
      <c r="J38" s="203">
        <f t="shared" si="11"/>
        <v>2.5094187012995071E-2</v>
      </c>
      <c r="K38" s="203">
        <f t="shared" si="11"/>
        <v>5.6628375483782113E-2</v>
      </c>
      <c r="L38" s="209" t="str">
        <f t="shared" si="11"/>
        <v>NA</v>
      </c>
      <c r="M38" s="210" t="str">
        <f t="shared" si="11"/>
        <v>NA</v>
      </c>
      <c r="N38" s="203">
        <f t="shared" si="11"/>
        <v>5.6628375483782113E-2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6.8489501855641448</v>
      </c>
      <c r="D39" s="229">
        <f>IF(ISERROR($E$30/D40),"NA",$E$30/D40)</f>
        <v>7.0607733871795268</v>
      </c>
      <c r="E39" s="229">
        <f>IF(ISERROR($E$30/E40),"NA",$E$30/E40)</f>
        <v>7.2048708032444146</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396981.87199999974</v>
      </c>
      <c r="D40" s="180">
        <v>385072.41583999997</v>
      </c>
      <c r="E40" s="180">
        <v>377370.96752319997</v>
      </c>
      <c r="F40" s="237"/>
      <c r="G40" s="111" t="s">
        <v>190</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191</v>
      </c>
      <c r="Q40" s="111"/>
      <c r="R40" s="111"/>
      <c r="S40" s="111"/>
      <c r="T40" s="238">
        <f>T35+SUM(T38:T39)</f>
        <v>73.606836999999999</v>
      </c>
      <c r="U40" s="110"/>
      <c r="V40" s="2"/>
      <c r="W40" s="2"/>
      <c r="X40" s="2"/>
      <c r="Y40" s="2"/>
      <c r="Z40" s="2"/>
    </row>
    <row r="41" spans="1:26" ht="12.75" customHeight="1" x14ac:dyDescent="0.2">
      <c r="A41" s="24"/>
      <c r="B41" s="111" t="s">
        <v>192</v>
      </c>
      <c r="C41" s="229">
        <f>IF(ISERROR($E$17/N52),"NA",E17/N52)</f>
        <v>4.3726717736948428</v>
      </c>
      <c r="D41" s="229">
        <f>IF(ISERROR($E$17/D42),"NA",$E$17/D42)</f>
        <v>4.5079394503684291</v>
      </c>
      <c r="E41" s="229">
        <f>IF(ISERROR($E$17/E42),"NA",$E$17/E42)</f>
        <v>4.5999382146616625</v>
      </c>
      <c r="F41" s="2"/>
      <c r="G41" s="122" t="s">
        <v>193</v>
      </c>
      <c r="H41" s="111"/>
      <c r="I41" s="185">
        <f t="shared" ref="I41:N41" si="13">I40+I37</f>
        <v>-540508.25600000017</v>
      </c>
      <c r="J41" s="185">
        <f t="shared" si="13"/>
        <v>335710.25000000116</v>
      </c>
      <c r="K41" s="185">
        <f t="shared" si="13"/>
        <v>486919.62299999973</v>
      </c>
      <c r="L41" s="191">
        <f t="shared" si="13"/>
        <v>0</v>
      </c>
      <c r="M41" s="192">
        <f t="shared" si="13"/>
        <v>0</v>
      </c>
      <c r="N41" s="185">
        <f t="shared" si="13"/>
        <v>486919.62299999973</v>
      </c>
      <c r="O41" s="2"/>
      <c r="P41" s="111"/>
      <c r="Q41" s="111"/>
      <c r="R41" s="111"/>
      <c r="S41" s="111"/>
      <c r="T41" s="111"/>
      <c r="U41" s="110"/>
      <c r="V41" s="2"/>
      <c r="W41" s="2"/>
      <c r="X41" s="2"/>
      <c r="Y41" s="2"/>
      <c r="Z41" s="2"/>
    </row>
    <row r="42" spans="1:26" ht="15" customHeight="1" x14ac:dyDescent="0.2">
      <c r="A42" s="24"/>
      <c r="B42" s="111" t="s">
        <v>181</v>
      </c>
      <c r="C42" s="213">
        <f>N52</f>
        <v>2447.0165047303926</v>
      </c>
      <c r="D42" s="201">
        <v>2373.59</v>
      </c>
      <c r="E42" s="201">
        <v>2326.1181999999999</v>
      </c>
      <c r="F42" s="2"/>
      <c r="G42" s="128" t="s">
        <v>173</v>
      </c>
      <c r="H42" s="128"/>
      <c r="I42" s="203">
        <f t="shared" ref="I42:N42" si="14">IF(ISERROR(I41/I10),"NA",I41/I10)</f>
        <v>-3.944861924053835E-2</v>
      </c>
      <c r="J42" s="203">
        <f t="shared" si="14"/>
        <v>3.7594396855442677E-2</v>
      </c>
      <c r="K42" s="203">
        <f t="shared" si="14"/>
        <v>6.9457749047204934E-2</v>
      </c>
      <c r="L42" s="209" t="str">
        <f t="shared" si="14"/>
        <v>NA</v>
      </c>
      <c r="M42" s="210" t="str">
        <f t="shared" si="14"/>
        <v>NA</v>
      </c>
      <c r="N42" s="203">
        <f t="shared" si="14"/>
        <v>6.9457749047204934E-2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-885289.07900000014</v>
      </c>
      <c r="J44" s="218">
        <f t="shared" si="15"/>
        <v>29239.789000001176</v>
      </c>
      <c r="K44" s="218">
        <f t="shared" si="15"/>
        <v>180117.14499999973</v>
      </c>
      <c r="L44" s="227">
        <f t="shared" si="15"/>
        <v>0</v>
      </c>
      <c r="M44" s="228">
        <f t="shared" si="15"/>
        <v>0</v>
      </c>
      <c r="N44" s="218">
        <f t="shared" si="15"/>
        <v>180117.14499999973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0.1328055118715076</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0.1982313095639936</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3.9020633414607847E-2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-885289.07900000014</v>
      </c>
      <c r="J49" s="202">
        <f t="shared" si="19"/>
        <v>29239.789000001176</v>
      </c>
      <c r="K49" s="202">
        <f t="shared" si="19"/>
        <v>180117.14499999973</v>
      </c>
      <c r="L49" s="207">
        <f t="shared" si="19"/>
        <v>0</v>
      </c>
      <c r="M49" s="208">
        <f t="shared" si="19"/>
        <v>0</v>
      </c>
      <c r="N49" s="202">
        <f t="shared" si="19"/>
        <v>180117.14499999973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-6.4612207875836533E-2</v>
      </c>
      <c r="J50" s="203">
        <f t="shared" si="20"/>
        <v>3.2744077121131922E-3</v>
      </c>
      <c r="K50" s="203">
        <f t="shared" si="20"/>
        <v>2.5693216838190584E-2</v>
      </c>
      <c r="L50" s="209" t="str">
        <f t="shared" si="20"/>
        <v>NA</v>
      </c>
      <c r="M50" s="210" t="str">
        <f t="shared" si="20"/>
        <v>NA</v>
      </c>
      <c r="N50" s="203">
        <f t="shared" si="20"/>
        <v>2.5693216838190584E-2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4.2084972759456871</v>
      </c>
      <c r="F52" s="2"/>
      <c r="G52" s="111" t="s">
        <v>219</v>
      </c>
      <c r="H52" s="111"/>
      <c r="I52" s="213">
        <f t="shared" ref="I52:N52" si="21">IF(ISERROR(I49/I24),0,I49/I24)</f>
        <v>-12027.266964344632</v>
      </c>
      <c r="J52" s="213">
        <f t="shared" si="21"/>
        <v>397.24284036279369</v>
      </c>
      <c r="K52" s="213">
        <f t="shared" si="21"/>
        <v>2447.0165047303926</v>
      </c>
      <c r="L52" s="214">
        <f t="shared" si="21"/>
        <v>0</v>
      </c>
      <c r="M52" s="215">
        <f t="shared" si="21"/>
        <v>0</v>
      </c>
      <c r="N52" s="213">
        <f t="shared" si="21"/>
        <v>2447.0165047303926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3.930584939683158</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3.281950863147947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3.2678978651678996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2.6757496225706388</v>
      </c>
      <c r="F56" s="2"/>
      <c r="G56" s="111" t="s">
        <v>190</v>
      </c>
      <c r="H56" s="111"/>
      <c r="I56" s="182">
        <v>106710.808</v>
      </c>
      <c r="J56" s="182">
        <v>111624.30899999999</v>
      </c>
      <c r="K56" s="182">
        <v>89937.751000000004</v>
      </c>
      <c r="L56" s="252">
        <v>0</v>
      </c>
      <c r="M56" s="253">
        <v>0</v>
      </c>
      <c r="N56" s="195">
        <f>K56+M56-L56</f>
        <v>89937.751000000004</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7.7882141242301261E-3</v>
      </c>
      <c r="J57" s="255">
        <f t="shared" si="22"/>
        <v>1.2500209842447608E-2</v>
      </c>
      <c r="K57" s="255">
        <f t="shared" si="22"/>
        <v>1.2829373563422824E-2</v>
      </c>
      <c r="L57" s="256" t="str">
        <f t="shared" si="22"/>
        <v>NA</v>
      </c>
      <c r="M57" s="257" t="str">
        <f t="shared" si="22"/>
        <v>NA</v>
      </c>
      <c r="N57" s="255">
        <f t="shared" si="22"/>
        <v>1.2829373563422824E-2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249158.054</v>
      </c>
      <c r="J58" s="182">
        <v>4683.9539999999997</v>
      </c>
      <c r="K58" s="182">
        <v>2084.9430000000002</v>
      </c>
      <c r="L58" s="186">
        <v>0</v>
      </c>
      <c r="M58" s="187">
        <v>0</v>
      </c>
      <c r="N58" s="195">
        <f>K58+M58-L58</f>
        <v>2084.9430000000002</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1.8184627327800688E-2</v>
      </c>
      <c r="J59" s="255">
        <f t="shared" si="23"/>
        <v>5.2453097731939235E-4</v>
      </c>
      <c r="K59" s="255">
        <f t="shared" si="23"/>
        <v>2.9741140186442371E-4</v>
      </c>
      <c r="L59" s="258" t="str">
        <f t="shared" si="23"/>
        <v>NA</v>
      </c>
      <c r="M59" s="259" t="str">
        <f t="shared" si="23"/>
        <v>NA</v>
      </c>
      <c r="N59" s="255">
        <f t="shared" si="23"/>
        <v>2.9741140186442371E-4</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-0.21495402284278164</v>
      </c>
      <c r="D61" s="203">
        <f>IF(ISERROR(K41/J41-1),0,K41/J41-1)</f>
        <v>0.45041631287694694</v>
      </c>
      <c r="E61" s="203">
        <f>IF(ISERROR(K52/J52-1),0,K52/J52-1)</f>
        <v>5.1600015307905434</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-0.28470856694519697</v>
      </c>
      <c r="D62" s="203">
        <f>IF(ISERROR((K41/I41)^(1/2)-1),0,(K41/I41)^(1/2)-1)</f>
        <v>0</v>
      </c>
      <c r="E62" s="203">
        <f>IF(ISERROR((K52/I52)^(1/2)-1),0,(K52/I52)^(1/2)-1)</f>
        <v>0</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-3.0000000000000027E-2</v>
      </c>
      <c r="D64" s="203">
        <f>IF(ISERROR(D38/K41-1),0,D38/K41-1)</f>
        <v>-2.9999999999999694E-2</v>
      </c>
      <c r="E64" s="203">
        <f>IF(ISERROR(D42/K52-1),0,D42/K52-1)</f>
        <v>-3.0006542493052124E-2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-2.5012820597111629E-2</v>
      </c>
      <c r="D65" s="203">
        <f>IF(ISERROR((E38/K41)^(1/2)-1),0,(E38/K41)^(1/2)-1)</f>
        <v>-2.5012820597111518E-2</v>
      </c>
      <c r="E65" s="203">
        <f>IF(ISERROR((E42/K52)^(1/2)-1),0,(E42/K52)^(1/2)-1)</f>
        <v>-2.501610866804127E-2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102126.93399999999</v>
      </c>
      <c r="T8" s="180">
        <v>20863.874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594142.01399999997</v>
      </c>
      <c r="T9" s="182">
        <v>421552.62900000002</v>
      </c>
      <c r="U9" s="110"/>
      <c r="V9" s="2"/>
      <c r="W9" s="2"/>
      <c r="X9" s="2"/>
      <c r="Y9" s="2"/>
      <c r="Z9" s="2"/>
    </row>
    <row r="10" spans="1:26" ht="15" customHeight="1" x14ac:dyDescent="0.2">
      <c r="A10" s="24"/>
      <c r="B10" s="111" t="s">
        <v>118</v>
      </c>
      <c r="C10" s="111"/>
      <c r="D10" s="121"/>
      <c r="E10" s="150">
        <v>46022</v>
      </c>
      <c r="F10" s="2"/>
      <c r="G10" s="122" t="s">
        <v>34</v>
      </c>
      <c r="H10" s="122"/>
      <c r="I10" s="180">
        <v>6157358.5389999999</v>
      </c>
      <c r="J10" s="180">
        <v>6305060.1730000004</v>
      </c>
      <c r="K10" s="180">
        <v>5320344.78</v>
      </c>
      <c r="L10" s="183">
        <v>0</v>
      </c>
      <c r="M10" s="184">
        <v>0</v>
      </c>
      <c r="N10" s="185">
        <f>K10+M10-L10</f>
        <v>5320344.78</v>
      </c>
      <c r="O10" s="2"/>
      <c r="P10" s="111" t="s">
        <v>119</v>
      </c>
      <c r="Q10" s="123"/>
      <c r="R10" s="123"/>
      <c r="S10" s="182">
        <v>2573014.5460000001</v>
      </c>
      <c r="T10" s="182">
        <v>1814973.9140000001</v>
      </c>
      <c r="U10" s="110"/>
      <c r="V10" s="2"/>
      <c r="W10" s="2"/>
      <c r="X10" s="2"/>
      <c r="Y10" s="2"/>
      <c r="Z10" s="2"/>
    </row>
    <row r="11" spans="1:26" ht="15" customHeight="1" x14ac:dyDescent="0.2">
      <c r="A11" s="24"/>
      <c r="B11" s="111" t="s">
        <v>120</v>
      </c>
      <c r="C11" s="111"/>
      <c r="D11" s="117"/>
      <c r="E11" s="149" t="s">
        <v>121</v>
      </c>
      <c r="F11" s="2"/>
      <c r="G11" s="111" t="s">
        <v>122</v>
      </c>
      <c r="H11" s="111"/>
      <c r="I11" s="182">
        <v>6001720.1200000001</v>
      </c>
      <c r="J11" s="182">
        <v>6602787.7010000004</v>
      </c>
      <c r="K11" s="182">
        <v>5140249.6090000002</v>
      </c>
      <c r="L11" s="186">
        <v>0</v>
      </c>
      <c r="M11" s="187">
        <v>0</v>
      </c>
      <c r="N11" s="188">
        <f>K11+M11-L11</f>
        <v>5140249.6090000002</v>
      </c>
      <c r="O11" s="189"/>
      <c r="P11" s="111" t="s">
        <v>123</v>
      </c>
      <c r="Q11" s="190"/>
      <c r="R11" s="190"/>
      <c r="S11" s="182">
        <v>194760.7940000002</v>
      </c>
      <c r="T11" s="182">
        <v>119585.1550000003</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155638.41899999976</v>
      </c>
      <c r="J12" s="185">
        <f t="shared" si="0"/>
        <v>-297727.52799999993</v>
      </c>
      <c r="K12" s="185">
        <f t="shared" si="0"/>
        <v>180095.17100000009</v>
      </c>
      <c r="L12" s="191">
        <f t="shared" si="0"/>
        <v>0</v>
      </c>
      <c r="M12" s="192">
        <f t="shared" si="0"/>
        <v>0</v>
      </c>
      <c r="N12" s="185">
        <f t="shared" si="0"/>
        <v>180095.17100000009</v>
      </c>
      <c r="O12" s="2"/>
      <c r="P12" s="124" t="s">
        <v>126</v>
      </c>
      <c r="Q12" s="120"/>
      <c r="R12" s="120"/>
      <c r="S12" s="185">
        <f>SUM(S8:S11)</f>
        <v>3464044.2880000002</v>
      </c>
      <c r="T12" s="185">
        <f>SUM(T8:T11)</f>
        <v>2376975.5720000006</v>
      </c>
      <c r="U12" s="110"/>
      <c r="V12" s="2"/>
      <c r="W12" s="2"/>
      <c r="X12" s="2"/>
      <c r="Y12" s="2"/>
      <c r="Z12" s="2"/>
    </row>
    <row r="13" spans="1:26" ht="12.75" customHeight="1" x14ac:dyDescent="0.2">
      <c r="A13" s="24"/>
      <c r="B13" s="111" t="s">
        <v>127</v>
      </c>
      <c r="C13" s="111"/>
      <c r="D13" s="193"/>
      <c r="E13" s="194">
        <v>1.1000000000000001</v>
      </c>
      <c r="F13" s="2"/>
      <c r="G13" s="111" t="s">
        <v>128</v>
      </c>
      <c r="H13" s="125"/>
      <c r="I13" s="182">
        <v>88022.513999999996</v>
      </c>
      <c r="J13" s="182">
        <v>116261.409</v>
      </c>
      <c r="K13" s="182">
        <v>90955.85</v>
      </c>
      <c r="L13" s="186">
        <v>0</v>
      </c>
      <c r="M13" s="187">
        <v>0</v>
      </c>
      <c r="N13" s="195">
        <f>K13+M13-L13</f>
        <v>90955.85</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-68130.550999999978</v>
      </c>
      <c r="J14" s="197">
        <v>55782.32799999998</v>
      </c>
      <c r="K14" s="197">
        <v>-7043.4939999999924</v>
      </c>
      <c r="L14" s="198">
        <v>0</v>
      </c>
      <c r="M14" s="199">
        <v>0</v>
      </c>
      <c r="N14" s="200">
        <f>K14+M14-L14</f>
        <v>-7043.4939999999924</v>
      </c>
      <c r="O14" s="2"/>
      <c r="P14" s="111" t="s">
        <v>131</v>
      </c>
      <c r="Q14" s="123"/>
      <c r="R14" s="123"/>
      <c r="S14" s="182">
        <v>320369.10399999999</v>
      </c>
      <c r="T14" s="182">
        <v>306573.42800000001</v>
      </c>
      <c r="U14" s="110"/>
      <c r="V14" s="2"/>
      <c r="W14" s="2"/>
      <c r="X14" s="2"/>
      <c r="Y14" s="2"/>
      <c r="Z14" s="2"/>
    </row>
    <row r="15" spans="1:26" ht="12.75" customHeight="1" x14ac:dyDescent="0.2">
      <c r="A15" s="24"/>
      <c r="B15" s="2"/>
      <c r="C15" s="2"/>
      <c r="D15" s="2"/>
      <c r="E15" s="2"/>
      <c r="F15" s="2"/>
      <c r="G15" s="122" t="s">
        <v>132</v>
      </c>
      <c r="H15" s="125"/>
      <c r="I15" s="185">
        <f t="shared" ref="I15:N15" si="1">I12-SUM(I13:I14)</f>
        <v>135746.45599999974</v>
      </c>
      <c r="J15" s="185">
        <f t="shared" si="1"/>
        <v>-469771.2649999999</v>
      </c>
      <c r="K15" s="185">
        <f t="shared" si="1"/>
        <v>96182.815000000075</v>
      </c>
      <c r="L15" s="191">
        <f t="shared" si="1"/>
        <v>0</v>
      </c>
      <c r="M15" s="192">
        <f t="shared" si="1"/>
        <v>0</v>
      </c>
      <c r="N15" s="185">
        <f t="shared" si="1"/>
        <v>96182.815000000075</v>
      </c>
      <c r="O15" s="2"/>
      <c r="P15" s="111" t="s">
        <v>133</v>
      </c>
      <c r="Q15" s="120"/>
      <c r="R15" s="120"/>
      <c r="S15" s="182">
        <v>92870.527000000002</v>
      </c>
      <c r="T15" s="182">
        <v>90495.589000000007</v>
      </c>
      <c r="U15" s="110"/>
      <c r="V15" s="2"/>
      <c r="W15" s="2"/>
      <c r="X15" s="2"/>
      <c r="Y15" s="2"/>
      <c r="Z15" s="2"/>
    </row>
    <row r="16" spans="1:26" ht="15" customHeight="1" x14ac:dyDescent="0.2">
      <c r="A16" s="24"/>
      <c r="B16" s="271" t="s">
        <v>134</v>
      </c>
      <c r="C16" s="269"/>
      <c r="D16" s="269"/>
      <c r="E16" s="269"/>
      <c r="F16" s="2"/>
      <c r="G16" s="111" t="s">
        <v>135</v>
      </c>
      <c r="H16" s="125"/>
      <c r="I16" s="182">
        <v>116539.556</v>
      </c>
      <c r="J16" s="182">
        <v>103851.3</v>
      </c>
      <c r="K16" s="182">
        <v>91217.796000000002</v>
      </c>
      <c r="L16" s="186">
        <v>0</v>
      </c>
      <c r="M16" s="187">
        <v>0</v>
      </c>
      <c r="N16" s="188">
        <f>K16+M16-L16</f>
        <v>91217.796000000002</v>
      </c>
      <c r="O16" s="2"/>
      <c r="P16" s="111" t="s">
        <v>136</v>
      </c>
      <c r="Q16" s="123"/>
      <c r="R16" s="123"/>
      <c r="S16" s="182">
        <v>54452.524999999972</v>
      </c>
      <c r="T16" s="182">
        <v>73979.850999999762</v>
      </c>
      <c r="U16" s="110"/>
      <c r="V16" s="2"/>
      <c r="W16" s="2"/>
      <c r="X16" s="2"/>
      <c r="Y16" s="2"/>
      <c r="Z16" s="2"/>
    </row>
    <row r="17" spans="1:26" ht="15" customHeight="1" x14ac:dyDescent="0.2">
      <c r="A17" s="24"/>
      <c r="B17" s="111" t="s">
        <v>137</v>
      </c>
      <c r="C17" s="111"/>
      <c r="D17" s="126">
        <v>0</v>
      </c>
      <c r="E17" s="201">
        <v>4380</v>
      </c>
      <c r="F17" s="2"/>
      <c r="G17" s="122" t="s">
        <v>138</v>
      </c>
      <c r="H17" s="111"/>
      <c r="I17" s="185">
        <f t="shared" ref="I17:N17" si="2">I15-SUM(I16)</f>
        <v>19206.899999999747</v>
      </c>
      <c r="J17" s="185">
        <f t="shared" si="2"/>
        <v>-573622.56499999994</v>
      </c>
      <c r="K17" s="185">
        <f t="shared" si="2"/>
        <v>4965.019000000073</v>
      </c>
      <c r="L17" s="191">
        <f t="shared" si="2"/>
        <v>0</v>
      </c>
      <c r="M17" s="192">
        <f t="shared" si="2"/>
        <v>0</v>
      </c>
      <c r="N17" s="185">
        <f t="shared" si="2"/>
        <v>4965.019000000073</v>
      </c>
      <c r="O17" s="2"/>
      <c r="P17" s="124" t="s">
        <v>139</v>
      </c>
      <c r="Q17" s="120"/>
      <c r="R17" s="120"/>
      <c r="S17" s="202">
        <f>SUM(S12:S16)</f>
        <v>3931736.4439999997</v>
      </c>
      <c r="T17" s="202">
        <f>SUM(T12:T16)</f>
        <v>2848024.4400000004</v>
      </c>
      <c r="U17" s="110"/>
      <c r="V17" s="2"/>
      <c r="W17" s="2"/>
      <c r="X17" s="2"/>
      <c r="Y17" s="2"/>
      <c r="Z17" s="2"/>
    </row>
    <row r="18" spans="1:26" ht="12.75" customHeight="1" x14ac:dyDescent="0.2">
      <c r="A18" s="127"/>
      <c r="B18" s="128" t="s">
        <v>140</v>
      </c>
      <c r="C18" s="128"/>
      <c r="D18" s="129"/>
      <c r="E18" s="203">
        <f>+IF(ISERROR(E17/E19),"NA",E17/E19)</f>
        <v>0.65373134328358207</v>
      </c>
      <c r="F18" s="2"/>
      <c r="G18" s="111" t="s">
        <v>141</v>
      </c>
      <c r="H18" s="111"/>
      <c r="I18" s="182">
        <v>15102.977999999999</v>
      </c>
      <c r="J18" s="182">
        <v>24092.366000000002</v>
      </c>
      <c r="K18" s="182">
        <v>-739.32100000000003</v>
      </c>
      <c r="L18" s="186">
        <v>0</v>
      </c>
      <c r="M18" s="187">
        <v>0</v>
      </c>
      <c r="N18" s="195">
        <f>K18+M18-L18</f>
        <v>-739.32100000000003</v>
      </c>
      <c r="O18" s="2"/>
      <c r="P18" s="111"/>
      <c r="Q18" s="111"/>
      <c r="R18" s="111"/>
      <c r="S18" s="111"/>
      <c r="T18" s="111"/>
      <c r="U18" s="110"/>
      <c r="V18" s="2"/>
      <c r="W18" s="2"/>
      <c r="X18" s="2"/>
      <c r="Y18" s="2"/>
      <c r="Z18" s="2"/>
    </row>
    <row r="19" spans="1:26" ht="15" customHeight="1" x14ac:dyDescent="0.2">
      <c r="A19" s="24"/>
      <c r="B19" s="111" t="s">
        <v>142</v>
      </c>
      <c r="C19" s="111"/>
      <c r="D19" s="204">
        <v>0</v>
      </c>
      <c r="E19" s="205">
        <v>6700</v>
      </c>
      <c r="F19" s="2"/>
      <c r="G19" s="111" t="s">
        <v>143</v>
      </c>
      <c r="H19" s="111"/>
      <c r="I19" s="197">
        <v>148.09200000000001</v>
      </c>
      <c r="J19" s="197">
        <v>-11777.981</v>
      </c>
      <c r="K19" s="197">
        <v>598.85299999999995</v>
      </c>
      <c r="L19" s="198">
        <v>0</v>
      </c>
      <c r="M19" s="199">
        <v>0</v>
      </c>
      <c r="N19" s="206">
        <f>K19+M19-L19</f>
        <v>598.85299999999995</v>
      </c>
      <c r="O19" s="2"/>
      <c r="P19" s="111" t="s">
        <v>144</v>
      </c>
      <c r="Q19" s="123"/>
      <c r="R19" s="123"/>
      <c r="S19" s="182">
        <v>389312.29499999998</v>
      </c>
      <c r="T19" s="182">
        <v>235784.38399999999</v>
      </c>
      <c r="U19" s="110"/>
      <c r="V19" s="2"/>
      <c r="W19" s="2"/>
      <c r="X19" s="2"/>
      <c r="Y19" s="2"/>
      <c r="Z19" s="2"/>
    </row>
    <row r="20" spans="1:26" ht="15" customHeight="1" x14ac:dyDescent="0.2">
      <c r="A20" s="24"/>
      <c r="B20" s="111" t="s">
        <v>145</v>
      </c>
      <c r="C20" s="111"/>
      <c r="D20" s="204">
        <v>0</v>
      </c>
      <c r="E20" s="205">
        <v>4300</v>
      </c>
      <c r="F20" s="2"/>
      <c r="G20" s="111" t="s">
        <v>146</v>
      </c>
      <c r="H20" s="111"/>
      <c r="I20" s="197">
        <v>0</v>
      </c>
      <c r="J20" s="197">
        <v>0</v>
      </c>
      <c r="K20" s="197">
        <v>0</v>
      </c>
      <c r="L20" s="198">
        <v>0</v>
      </c>
      <c r="M20" s="199">
        <v>0</v>
      </c>
      <c r="N20" s="200">
        <f>K20+M20-L20</f>
        <v>0</v>
      </c>
      <c r="O20" s="2"/>
      <c r="P20" s="111" t="s">
        <v>147</v>
      </c>
      <c r="Q20" s="190"/>
      <c r="R20" s="190"/>
      <c r="S20" s="182">
        <v>4172.9569999999994</v>
      </c>
      <c r="T20" s="182">
        <v>2125.1819999999998</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3955.8299999997471</v>
      </c>
      <c r="J21" s="202">
        <f t="shared" si="3"/>
        <v>-585936.94999999995</v>
      </c>
      <c r="K21" s="202">
        <f t="shared" si="3"/>
        <v>5105.4870000000728</v>
      </c>
      <c r="L21" s="207">
        <f t="shared" si="3"/>
        <v>0</v>
      </c>
      <c r="M21" s="208">
        <f t="shared" si="3"/>
        <v>0</v>
      </c>
      <c r="N21" s="202">
        <f t="shared" si="3"/>
        <v>5105.4870000000728</v>
      </c>
      <c r="O21" s="2"/>
      <c r="P21" s="111" t="s">
        <v>150</v>
      </c>
      <c r="Q21" s="120"/>
      <c r="R21" s="120"/>
      <c r="S21" s="182">
        <v>2254636.7710000002</v>
      </c>
      <c r="T21" s="182">
        <v>1321316.0959999999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0.78633084985084523</v>
      </c>
      <c r="J22" s="203">
        <f t="shared" si="4"/>
        <v>-4.2000380511530266E-2</v>
      </c>
      <c r="K22" s="203">
        <f t="shared" si="4"/>
        <v>-0.14890597598921357</v>
      </c>
      <c r="L22" s="209" t="str">
        <f t="shared" si="4"/>
        <v>NA</v>
      </c>
      <c r="M22" s="210" t="str">
        <f t="shared" si="4"/>
        <v>NA</v>
      </c>
      <c r="N22" s="203">
        <f t="shared" si="4"/>
        <v>-0.14890597598921357</v>
      </c>
      <c r="O22" s="2"/>
      <c r="P22" s="124" t="s">
        <v>152</v>
      </c>
      <c r="Q22" s="123"/>
      <c r="R22" s="123"/>
      <c r="S22" s="185">
        <f>SUM(S19:S21)</f>
        <v>2648122.023</v>
      </c>
      <c r="T22" s="185">
        <f>SUM(T19:T21)</f>
        <v>1559225.662</v>
      </c>
      <c r="U22" s="110"/>
      <c r="V22" s="2"/>
      <c r="W22" s="2"/>
      <c r="X22" s="2"/>
      <c r="Y22" s="2"/>
      <c r="Z22" s="2"/>
    </row>
    <row r="23" spans="1:26" ht="15" customHeight="1" x14ac:dyDescent="0.2">
      <c r="A23" s="24"/>
      <c r="B23" s="111" t="s">
        <v>153</v>
      </c>
      <c r="C23" s="111"/>
      <c r="D23" s="111"/>
      <c r="E23" s="211">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491961.67446000001</v>
      </c>
      <c r="F24" s="2"/>
      <c r="G24" s="111" t="s">
        <v>155</v>
      </c>
      <c r="H24" s="111"/>
      <c r="I24" s="182">
        <v>112.32001700000001</v>
      </c>
      <c r="J24" s="182">
        <v>112.32001700000001</v>
      </c>
      <c r="K24" s="182">
        <v>112.32001700000001</v>
      </c>
      <c r="L24" s="186">
        <v>0</v>
      </c>
      <c r="M24" s="187">
        <v>0</v>
      </c>
      <c r="N24" s="195">
        <f>+IF(ISERROR(K24+M24-L24),"NA",K24+M24-L24)</f>
        <v>112.32001700000001</v>
      </c>
      <c r="O24" s="2"/>
      <c r="P24" s="133" t="s">
        <v>156</v>
      </c>
      <c r="Q24" s="120"/>
      <c r="R24" s="120"/>
      <c r="S24" s="182">
        <v>2038428.7069999999</v>
      </c>
      <c r="T24" s="182">
        <v>1268941.94</v>
      </c>
      <c r="U24" s="110"/>
      <c r="V24" s="2"/>
      <c r="W24" s="2"/>
      <c r="X24" s="2"/>
      <c r="Y24" s="2"/>
      <c r="Z24" s="2"/>
    </row>
    <row r="25" spans="1:26" ht="15" customHeight="1" x14ac:dyDescent="0.2">
      <c r="A25" s="24"/>
      <c r="B25" s="111"/>
      <c r="C25" s="111"/>
      <c r="D25" s="111"/>
      <c r="E25" s="111"/>
      <c r="F25" s="2"/>
      <c r="G25" s="111" t="s">
        <v>157</v>
      </c>
      <c r="H25" s="111"/>
      <c r="I25" s="213">
        <f>IF(ISERROR(I21/I24),"NA",I21/I24)</f>
        <v>35.219278857478692</v>
      </c>
      <c r="J25" s="213">
        <f>+IF(ISERROR(J21/J24),"NA",J21/J24)</f>
        <v>-5216.6743350831221</v>
      </c>
      <c r="K25" s="213">
        <f>+IF(ISERROR(K21/K24),"NA",K21/K24)</f>
        <v>45.454827521972973</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1268941.94</v>
      </c>
      <c r="F26" s="2"/>
      <c r="G26" s="2"/>
      <c r="H26" s="2"/>
      <c r="I26" s="2"/>
      <c r="J26" s="2"/>
      <c r="K26" s="2"/>
      <c r="L26" s="2"/>
      <c r="M26" s="2"/>
      <c r="N26" s="2"/>
      <c r="O26" s="2"/>
      <c r="P26" s="124" t="s">
        <v>160</v>
      </c>
      <c r="Q26" s="111"/>
      <c r="R26" s="111"/>
      <c r="S26" s="185">
        <f>S22+SUM(S24:S25)</f>
        <v>4686550.7300000004</v>
      </c>
      <c r="T26" s="185">
        <f>T22+SUM(T24:T25)</f>
        <v>2828167.602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598.85299999999995</v>
      </c>
      <c r="F28" s="2"/>
      <c r="G28" s="271" t="s">
        <v>163</v>
      </c>
      <c r="H28" s="269"/>
      <c r="I28" s="269"/>
      <c r="J28" s="269"/>
      <c r="K28" s="269"/>
      <c r="L28" s="269"/>
      <c r="M28" s="269"/>
      <c r="N28" s="269"/>
      <c r="O28" s="2"/>
      <c r="P28" s="111" t="s">
        <v>143</v>
      </c>
      <c r="Q28" s="136"/>
      <c r="R28" s="136"/>
      <c r="S28" s="182">
        <v>-11777.981</v>
      </c>
      <c r="T28" s="182">
        <v>598.85299999999995</v>
      </c>
      <c r="U28" s="110"/>
      <c r="V28" s="2"/>
      <c r="W28" s="2"/>
      <c r="X28" s="2"/>
      <c r="Y28" s="2"/>
      <c r="Z28" s="2"/>
    </row>
    <row r="29" spans="1:26" ht="15" customHeight="1" x14ac:dyDescent="0.2">
      <c r="A29" s="24"/>
      <c r="B29" s="111" t="s">
        <v>164</v>
      </c>
      <c r="C29" s="111"/>
      <c r="D29" s="111"/>
      <c r="E29" s="217">
        <f>-T8</f>
        <v>-20863.874</v>
      </c>
      <c r="F29" s="2"/>
      <c r="G29" s="111" t="s">
        <v>165</v>
      </c>
      <c r="H29" s="111"/>
      <c r="I29" s="218">
        <f t="shared" ref="I29:N29" si="5">I12</f>
        <v>155638.41899999976</v>
      </c>
      <c r="J29" s="218">
        <f t="shared" si="5"/>
        <v>-297727.52799999993</v>
      </c>
      <c r="K29" s="218">
        <f t="shared" si="5"/>
        <v>180095.17100000009</v>
      </c>
      <c r="L29" s="219">
        <f t="shared" si="5"/>
        <v>0</v>
      </c>
      <c r="M29" s="220">
        <f t="shared" si="5"/>
        <v>0</v>
      </c>
      <c r="N29" s="218">
        <f t="shared" si="5"/>
        <v>180095.17100000009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1740638.5934599997</v>
      </c>
      <c r="F30" s="221"/>
      <c r="G30" s="111" t="s">
        <v>168</v>
      </c>
      <c r="H30" s="111"/>
      <c r="I30" s="223">
        <v>0</v>
      </c>
      <c r="J30" s="223">
        <v>0</v>
      </c>
      <c r="K30" s="223">
        <v>0</v>
      </c>
      <c r="L30" s="186">
        <v>0</v>
      </c>
      <c r="M30" s="187">
        <v>0</v>
      </c>
      <c r="N30" s="188">
        <f>K30+M30-L30</f>
        <v>0</v>
      </c>
      <c r="O30" s="2"/>
      <c r="P30" s="133" t="s">
        <v>169</v>
      </c>
      <c r="Q30" s="224"/>
      <c r="R30" s="224"/>
      <c r="S30" s="182">
        <v>1258146.8799999999</v>
      </c>
      <c r="T30" s="182">
        <v>1263780.503</v>
      </c>
      <c r="U30" s="2"/>
      <c r="V30" s="2"/>
      <c r="W30" s="2"/>
      <c r="X30" s="2"/>
      <c r="Y30" s="2"/>
      <c r="Z30" s="2"/>
    </row>
    <row r="31" spans="1:26" ht="15" customHeight="1" x14ac:dyDescent="0.2">
      <c r="A31" s="24"/>
      <c r="B31" s="2"/>
      <c r="C31" s="2"/>
      <c r="D31" s="2"/>
      <c r="E31" s="2"/>
      <c r="F31" s="221"/>
      <c r="G31" s="122" t="s">
        <v>170</v>
      </c>
      <c r="H31" s="111"/>
      <c r="I31" s="185">
        <f t="shared" ref="I31:N31" si="6">SUM(I29:I30)</f>
        <v>155638.41899999976</v>
      </c>
      <c r="J31" s="185">
        <f t="shared" si="6"/>
        <v>-297727.52799999993</v>
      </c>
      <c r="K31" s="185">
        <f t="shared" si="6"/>
        <v>180095.17100000009</v>
      </c>
      <c r="L31" s="191">
        <f t="shared" si="6"/>
        <v>0</v>
      </c>
      <c r="M31" s="192">
        <f t="shared" si="6"/>
        <v>0</v>
      </c>
      <c r="N31" s="185">
        <f t="shared" si="6"/>
        <v>180095.17100000009</v>
      </c>
      <c r="O31" s="2"/>
      <c r="P31" s="124" t="s">
        <v>171</v>
      </c>
      <c r="Q31" s="224"/>
      <c r="R31" s="224"/>
      <c r="S31" s="202">
        <f>S26+SUM(S28:S30)</f>
        <v>5932919.6290000007</v>
      </c>
      <c r="T31" s="202">
        <f>T26+SUM(T28:T30)</f>
        <v>4092546.9579999996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2.527681602658087E-2</v>
      </c>
      <c r="J32" s="203">
        <f t="shared" si="7"/>
        <v>-4.7220410246828569E-2</v>
      </c>
      <c r="K32" s="203">
        <f t="shared" si="7"/>
        <v>3.3850281973643086E-2</v>
      </c>
      <c r="L32" s="209" t="str">
        <f t="shared" si="7"/>
        <v>NA</v>
      </c>
      <c r="M32" s="210" t="str">
        <f t="shared" si="7"/>
        <v>NA</v>
      </c>
      <c r="N32" s="203">
        <f t="shared" si="7"/>
        <v>3.3850281973643086E-2</v>
      </c>
      <c r="O32" s="2"/>
      <c r="P32" s="128" t="s">
        <v>174</v>
      </c>
      <c r="Q32" s="137"/>
      <c r="R32" s="137"/>
      <c r="S32" s="225">
        <f>S17-S31</f>
        <v>-2001183.185000001</v>
      </c>
      <c r="T32" s="225">
        <f>T17-T31</f>
        <v>-1244522.5179999992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135746.45599999974</v>
      </c>
      <c r="J34" s="218">
        <f t="shared" si="8"/>
        <v>-469771.2649999999</v>
      </c>
      <c r="K34" s="218">
        <f t="shared" si="8"/>
        <v>96182.815000000075</v>
      </c>
      <c r="L34" s="227">
        <f t="shared" si="8"/>
        <v>0</v>
      </c>
      <c r="M34" s="228">
        <f t="shared" si="8"/>
        <v>0</v>
      </c>
      <c r="N34" s="218">
        <f t="shared" si="8"/>
        <v>96182.815000000075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0.3271665024423473</v>
      </c>
      <c r="D35" s="229">
        <f>IF(ISERROR($E$30/D36),"NA",$E$30/D36)</f>
        <v>0.33728505406427556</v>
      </c>
      <c r="E35" s="229">
        <f>IF(ISERROR($E$30/E36),"NA",$E$30/E36)</f>
        <v>0.34416842251456692</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112.32001700000001</v>
      </c>
      <c r="U35" s="110"/>
      <c r="V35" s="2"/>
      <c r="W35" s="2"/>
      <c r="X35" s="2"/>
      <c r="Y35" s="2"/>
      <c r="Z35" s="2"/>
    </row>
    <row r="36" spans="1:26" ht="15" customHeight="1" x14ac:dyDescent="0.2">
      <c r="A36" s="24"/>
      <c r="B36" s="111" t="s">
        <v>181</v>
      </c>
      <c r="C36" s="218">
        <f>N10</f>
        <v>5320344.78</v>
      </c>
      <c r="D36" s="180">
        <v>5160734.4365999997</v>
      </c>
      <c r="E36" s="180">
        <v>5057519.7478679996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14.015957154508769</v>
      </c>
      <c r="D37" s="229">
        <f>IF(ISERROR($E$30/D38),"NA",$E$30/D38)</f>
        <v>14.449440481822643</v>
      </c>
      <c r="E37" s="229">
        <f>IF(ISERROR($E$30/E38),"NA",$E$30/E38)</f>
        <v>14.744327022268005</v>
      </c>
      <c r="F37" s="2"/>
      <c r="G37" s="122" t="s">
        <v>185</v>
      </c>
      <c r="H37" s="111"/>
      <c r="I37" s="185">
        <f t="shared" ref="I37:N37" si="10">SUM(I34:I36)</f>
        <v>135746.45599999974</v>
      </c>
      <c r="J37" s="185">
        <f t="shared" si="10"/>
        <v>-469771.2649999999</v>
      </c>
      <c r="K37" s="185">
        <f t="shared" si="10"/>
        <v>96182.815000000075</v>
      </c>
      <c r="L37" s="191">
        <f t="shared" si="10"/>
        <v>0</v>
      </c>
      <c r="M37" s="192">
        <f t="shared" si="10"/>
        <v>0</v>
      </c>
      <c r="N37" s="185">
        <f t="shared" si="10"/>
        <v>96182.815000000075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124189.77700000007</v>
      </c>
      <c r="D38" s="180">
        <v>120464.08272000001</v>
      </c>
      <c r="E38" s="180">
        <v>118054.8010656</v>
      </c>
      <c r="F38" s="2"/>
      <c r="G38" s="128" t="s">
        <v>173</v>
      </c>
      <c r="H38" s="128"/>
      <c r="I38" s="203">
        <f t="shared" ref="I38:N38" si="11">IF(ISERROR(I37/I10),"NA",I37/I10)</f>
        <v>2.2046215944742754E-2</v>
      </c>
      <c r="J38" s="203">
        <f t="shared" si="11"/>
        <v>-7.4507023265485944E-2</v>
      </c>
      <c r="K38" s="203">
        <f t="shared" si="11"/>
        <v>1.8078304880083367E-2</v>
      </c>
      <c r="L38" s="209" t="str">
        <f t="shared" si="11"/>
        <v>NA</v>
      </c>
      <c r="M38" s="210" t="str">
        <f t="shared" si="11"/>
        <v>NA</v>
      </c>
      <c r="N38" s="203">
        <f t="shared" si="11"/>
        <v>1.8078304880083367E-2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18.09718912323369</v>
      </c>
      <c r="D39" s="229">
        <f>IF(ISERROR($E$30/D40),"NA",$E$30/D40)</f>
        <v>18.656896197306999</v>
      </c>
      <c r="E39" s="229">
        <f>IF(ISERROR($E$30/E40),"NA",$E$30/E40)</f>
        <v>19.037649180925509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96182.815000000075</v>
      </c>
      <c r="D40" s="180">
        <v>93297.329579999991</v>
      </c>
      <c r="E40" s="180">
        <v>91431.382988399986</v>
      </c>
      <c r="F40" s="237"/>
      <c r="G40" s="111" t="s">
        <v>190</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191</v>
      </c>
      <c r="Q40" s="111"/>
      <c r="R40" s="111"/>
      <c r="S40" s="111"/>
      <c r="T40" s="238">
        <f>T35+SUM(T38:T39)</f>
        <v>112.32001700000001</v>
      </c>
      <c r="U40" s="110"/>
      <c r="V40" s="2"/>
      <c r="W40" s="2"/>
      <c r="X40" s="2"/>
      <c r="Y40" s="2"/>
      <c r="Z40" s="2"/>
    </row>
    <row r="41" spans="1:26" ht="12.75" customHeight="1" x14ac:dyDescent="0.2">
      <c r="A41" s="24"/>
      <c r="B41" s="111" t="s">
        <v>192</v>
      </c>
      <c r="C41" s="229">
        <f>IF(ISERROR($E$17/N52),"NA",E17/N52)</f>
        <v>96.359402043329666</v>
      </c>
      <c r="D41" s="229">
        <f>IF(ISERROR($E$17/D42),"NA",$E$17/D42)</f>
        <v>100.34364261168385</v>
      </c>
      <c r="E41" s="229">
        <f>IF(ISERROR($E$17/E42),"NA",$E$17/E42)</f>
        <v>102.39147205273862</v>
      </c>
      <c r="F41" s="2"/>
      <c r="G41" s="122" t="s">
        <v>193</v>
      </c>
      <c r="H41" s="111"/>
      <c r="I41" s="185">
        <f t="shared" ref="I41:N41" si="13">I40+I37</f>
        <v>165871.93099999975</v>
      </c>
      <c r="J41" s="185">
        <f t="shared" si="13"/>
        <v>-441329.0749999999</v>
      </c>
      <c r="K41" s="185">
        <f t="shared" si="13"/>
        <v>124189.77700000007</v>
      </c>
      <c r="L41" s="191">
        <f t="shared" si="13"/>
        <v>0</v>
      </c>
      <c r="M41" s="192">
        <f t="shared" si="13"/>
        <v>0</v>
      </c>
      <c r="N41" s="185">
        <f t="shared" si="13"/>
        <v>124189.77700000007</v>
      </c>
      <c r="O41" s="2"/>
      <c r="P41" s="111"/>
      <c r="Q41" s="111"/>
      <c r="R41" s="111"/>
      <c r="S41" s="111"/>
      <c r="T41" s="111"/>
      <c r="U41" s="110"/>
      <c r="V41" s="2"/>
      <c r="W41" s="2"/>
      <c r="X41" s="2"/>
      <c r="Y41" s="2"/>
      <c r="Z41" s="2"/>
    </row>
    <row r="42" spans="1:26" ht="15" customHeight="1" x14ac:dyDescent="0.2">
      <c r="A42" s="24"/>
      <c r="B42" s="111" t="s">
        <v>181</v>
      </c>
      <c r="C42" s="213">
        <f>N52</f>
        <v>45.454827521972973</v>
      </c>
      <c r="D42" s="201">
        <v>43.65</v>
      </c>
      <c r="E42" s="201">
        <v>42.777000000000001</v>
      </c>
      <c r="F42" s="2"/>
      <c r="G42" s="128" t="s">
        <v>173</v>
      </c>
      <c r="H42" s="128"/>
      <c r="I42" s="203">
        <f t="shared" ref="I42:N42" si="14">IF(ISERROR(I41/I10),"NA",I41/I10)</f>
        <v>2.6938813120818941E-2</v>
      </c>
      <c r="J42" s="203">
        <f t="shared" si="14"/>
        <v>-6.9996013184757885E-2</v>
      </c>
      <c r="K42" s="203">
        <f t="shared" si="14"/>
        <v>2.3342430262574085E-2</v>
      </c>
      <c r="L42" s="209" t="str">
        <f t="shared" si="14"/>
        <v>NA</v>
      </c>
      <c r="M42" s="210" t="str">
        <f t="shared" si="14"/>
        <v>NA</v>
      </c>
      <c r="N42" s="203">
        <f t="shared" si="14"/>
        <v>2.3342430262574085E-2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3955.8299999997471</v>
      </c>
      <c r="J44" s="218">
        <f t="shared" si="15"/>
        <v>-585936.94999999995</v>
      </c>
      <c r="K44" s="218">
        <f t="shared" si="15"/>
        <v>5105.4870000000728</v>
      </c>
      <c r="L44" s="227">
        <f t="shared" si="15"/>
        <v>0</v>
      </c>
      <c r="M44" s="228">
        <f t="shared" si="15"/>
        <v>0</v>
      </c>
      <c r="N44" s="218">
        <f t="shared" si="15"/>
        <v>5105.4870000000728</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3.3711053842028861E-2</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4.0488770885438877E-3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1.5060964796114993E-3</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3955.8299999997471</v>
      </c>
      <c r="J49" s="202">
        <f t="shared" si="19"/>
        <v>-585936.94999999995</v>
      </c>
      <c r="K49" s="202">
        <f t="shared" si="19"/>
        <v>5105.4870000000728</v>
      </c>
      <c r="L49" s="207">
        <f t="shared" si="19"/>
        <v>0</v>
      </c>
      <c r="M49" s="208">
        <f t="shared" si="19"/>
        <v>0</v>
      </c>
      <c r="N49" s="202">
        <f t="shared" si="19"/>
        <v>5105.4870000000728</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6.4245568533064553E-4</v>
      </c>
      <c r="J50" s="203">
        <f t="shared" si="20"/>
        <v>-9.2931222529666402E-2</v>
      </c>
      <c r="K50" s="203">
        <f t="shared" si="20"/>
        <v>9.5961581647723069E-4</v>
      </c>
      <c r="L50" s="209" t="str">
        <f t="shared" si="20"/>
        <v>NA</v>
      </c>
      <c r="M50" s="210" t="str">
        <f t="shared" si="20"/>
        <v>NA</v>
      </c>
      <c r="N50" s="203">
        <f t="shared" si="20"/>
        <v>9.5961581647723069E-4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10.217764864816523</v>
      </c>
      <c r="F52" s="2"/>
      <c r="G52" s="111" t="s">
        <v>219</v>
      </c>
      <c r="H52" s="111"/>
      <c r="I52" s="213">
        <f t="shared" ref="I52:N52" si="21">IF(ISERROR(I49/I24),0,I49/I24)</f>
        <v>35.219278857478692</v>
      </c>
      <c r="J52" s="213">
        <f t="shared" si="21"/>
        <v>-5216.6743350831221</v>
      </c>
      <c r="K52" s="213">
        <f t="shared" si="21"/>
        <v>45.454827521972973</v>
      </c>
      <c r="L52" s="214">
        <f t="shared" si="21"/>
        <v>0</v>
      </c>
      <c r="M52" s="215">
        <f t="shared" si="21"/>
        <v>0</v>
      </c>
      <c r="N52" s="213">
        <f t="shared" si="21"/>
        <v>45.454827521972973</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10.049764933550039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1.3614643462773435</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1.2678136182987809</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1.0544303767216658</v>
      </c>
      <c r="F56" s="2"/>
      <c r="G56" s="111" t="s">
        <v>190</v>
      </c>
      <c r="H56" s="111"/>
      <c r="I56" s="182">
        <v>30125.474999999999</v>
      </c>
      <c r="J56" s="182">
        <v>28442.19</v>
      </c>
      <c r="K56" s="182">
        <v>28006.962</v>
      </c>
      <c r="L56" s="252">
        <v>0</v>
      </c>
      <c r="M56" s="253">
        <v>0</v>
      </c>
      <c r="N56" s="195">
        <f>K56+M56-L56</f>
        <v>28006.962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4.8925971760761877E-3</v>
      </c>
      <c r="J57" s="255">
        <f t="shared" si="22"/>
        <v>4.511010080728059E-3</v>
      </c>
      <c r="K57" s="255">
        <f t="shared" si="22"/>
        <v>5.2641253824907185E-3</v>
      </c>
      <c r="L57" s="256" t="str">
        <f t="shared" si="22"/>
        <v>NA</v>
      </c>
      <c r="M57" s="257" t="str">
        <f t="shared" si="22"/>
        <v>NA</v>
      </c>
      <c r="N57" s="255">
        <f t="shared" si="22"/>
        <v>5.2641253824907185E-3</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61642.366999999998</v>
      </c>
      <c r="J58" s="182">
        <v>29210.274000000001</v>
      </c>
      <c r="K58" s="182">
        <v>8542.6129999999994</v>
      </c>
      <c r="L58" s="186">
        <v>0</v>
      </c>
      <c r="M58" s="187">
        <v>0</v>
      </c>
      <c r="N58" s="195">
        <f>K58+M58-L58</f>
        <v>8542.6129999999994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1.0011170635843981E-2</v>
      </c>
      <c r="J59" s="255">
        <f t="shared" si="23"/>
        <v>4.6328303296908121E-3</v>
      </c>
      <c r="K59" s="255">
        <f t="shared" si="23"/>
        <v>1.6056502638913562E-3</v>
      </c>
      <c r="L59" s="258" t="str">
        <f t="shared" si="23"/>
        <v>NA</v>
      </c>
      <c r="M59" s="259" t="str">
        <f t="shared" si="23"/>
        <v>NA</v>
      </c>
      <c r="N59" s="255">
        <f t="shared" si="23"/>
        <v>1.6056502638913562E-3</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-0.15617858767102999</v>
      </c>
      <c r="D61" s="203">
        <f>IF(ISERROR(K41/J41-1),0,K41/J41-1)</f>
        <v>-1.2813994908447854</v>
      </c>
      <c r="E61" s="203">
        <f>IF(ISERROR(K52/J52-1),0,K52/J52-1)</f>
        <v>-1.0087133726589526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-7.0450188531658409E-2</v>
      </c>
      <c r="D62" s="203">
        <f>IF(ISERROR((K41/I41)^(1/2)-1),0,(K41/I41)^(1/2)-1)</f>
        <v>-0.13472038299852251</v>
      </c>
      <c r="E62" s="203">
        <f>IF(ISERROR((K52/I52)^(1/2)-1),0,(K52/I52)^(1/2)-1)</f>
        <v>0.13605609876986491</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-3.0000000000000138E-2</v>
      </c>
      <c r="D64" s="203">
        <f>IF(ISERROR(D38/K41-1),0,D38/K41-1)</f>
        <v>-3.0000007810627283E-2</v>
      </c>
      <c r="E64" s="203">
        <f>IF(ISERROR(D42/K52-1),0,D42/K52-1)</f>
        <v>-3.9705959088735199E-2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-2.501282059711174E-2</v>
      </c>
      <c r="D65" s="203">
        <f>IF(ISERROR((E38/K41)^(1/2)-1),0,(E38/K41)^(1/2)-1)</f>
        <v>-2.5012824522504196E-2</v>
      </c>
      <c r="E65" s="203">
        <f>IF(ISERROR((E42/K52)^(1/2)-1),0,(E42/K52)^(1/2)-1)</f>
        <v>-2.9903015109808972E-2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0.02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8"/>
  <sheetViews>
    <sheetView showGridLines="0" workbookViewId="0">
      <pane ySplit="3" topLeftCell="A4" activePane="bottomLeft" state="frozen"/>
      <selection pane="bottomLeft"/>
    </sheetView>
  </sheetViews>
  <sheetFormatPr defaultRowHeight="12.75" x14ac:dyDescent="0.2"/>
  <cols>
    <col min="1" max="1" width="22" style="151" customWidth="1"/>
    <col min="2" max="2" width="68" style="151" customWidth="1"/>
    <col min="3" max="3" width="84" style="151" customWidth="1"/>
  </cols>
  <sheetData>
    <row r="1" spans="1:3" ht="27.95" customHeight="1" x14ac:dyDescent="0.2">
      <c r="A1" s="266" t="s">
        <v>263</v>
      </c>
      <c r="B1" s="267"/>
      <c r="C1" s="267"/>
    </row>
    <row r="3" spans="1:3" ht="13.5" x14ac:dyDescent="0.2">
      <c r="A3" s="153" t="s">
        <v>264</v>
      </c>
      <c r="B3" s="153" t="s">
        <v>265</v>
      </c>
      <c r="C3" s="153" t="s">
        <v>266</v>
      </c>
    </row>
    <row r="4" spans="1:3" ht="13.5" x14ac:dyDescent="0.2">
      <c r="A4" s="264" t="s">
        <v>267</v>
      </c>
      <c r="B4" s="265" t="s">
        <v>268</v>
      </c>
      <c r="C4" s="265" t="s">
        <v>269</v>
      </c>
    </row>
    <row r="5" spans="1:3" ht="13.5" x14ac:dyDescent="0.2">
      <c r="A5" s="157" t="s">
        <v>270</v>
      </c>
      <c r="B5" s="158" t="s">
        <v>271</v>
      </c>
      <c r="C5" s="158" t="s">
        <v>272</v>
      </c>
    </row>
    <row r="6" spans="1:3" ht="27" x14ac:dyDescent="0.2">
      <c r="A6" s="264" t="s">
        <v>273</v>
      </c>
      <c r="B6" s="265" t="s">
        <v>274</v>
      </c>
      <c r="C6" s="265" t="s">
        <v>275</v>
      </c>
    </row>
    <row r="7" spans="1:3" ht="27" x14ac:dyDescent="0.2">
      <c r="A7" s="157" t="s">
        <v>276</v>
      </c>
      <c r="B7" s="158" t="s">
        <v>277</v>
      </c>
      <c r="C7" s="158" t="s">
        <v>278</v>
      </c>
    </row>
    <row r="8" spans="1:3" ht="13.5" x14ac:dyDescent="0.2">
      <c r="A8" s="264" t="s">
        <v>279</v>
      </c>
      <c r="B8" s="265" t="s">
        <v>280</v>
      </c>
      <c r="C8" s="265" t="s">
        <v>281</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2026-06-11T06:41:45Z</dcterms:created>
  <dcterms:modified xsi:type="dcterms:W3CDTF">2026-06-11T07:20:38Z</dcterms:modified>
</cp:coreProperties>
</file>